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40" yWindow="70" windowWidth="25210" windowHeight="8810" tabRatio="496"/>
  </bookViews>
  <sheets>
    <sheet name="Figures" sheetId="22" r:id="rId1"/>
    <sheet name="Tables" sheetId="24" r:id="rId2"/>
    <sheet name="Air Impacts" sheetId="13" r:id="rId3"/>
    <sheet name="Scenario Net Results" sheetId="25" r:id="rId4"/>
    <sheet name="B-C for Res Program" sheetId="8" r:id="rId5"/>
    <sheet name="Elec Sply by Project" sheetId="12" r:id="rId6"/>
  </sheets>
  <externalReferences>
    <externalReference r:id="rId7"/>
    <externalReference r:id="rId8"/>
    <externalReference r:id="rId9"/>
    <externalReference r:id="rId10"/>
  </externalReferences>
  <definedNames>
    <definedName name="headings">#REF!</definedName>
    <definedName name="key">#REF!</definedName>
  </definedNames>
  <calcPr calcId="171027" calcMode="manual" calcCompleted="0" calcOnSave="0"/>
</workbook>
</file>

<file path=xl/calcChain.xml><?xml version="1.0" encoding="utf-8"?>
<calcChain xmlns="http://schemas.openxmlformats.org/spreadsheetml/2006/main">
  <c r="I16" i="12" l="1"/>
  <c r="H16" i="12"/>
  <c r="E14" i="12"/>
  <c r="D14" i="12"/>
  <c r="I14" i="12" s="1"/>
  <c r="C14" i="12"/>
  <c r="H14" i="12" s="1"/>
  <c r="I13" i="12"/>
  <c r="D13" i="12"/>
  <c r="C13" i="12"/>
  <c r="H13" i="12" s="1"/>
  <c r="I12" i="12"/>
  <c r="J12" i="12" s="1"/>
  <c r="E12" i="12"/>
  <c r="D12" i="12"/>
  <c r="C12" i="12"/>
  <c r="H12" i="12" s="1"/>
  <c r="I11" i="12"/>
  <c r="D11" i="12"/>
  <c r="C11" i="12"/>
  <c r="H11" i="12" s="1"/>
  <c r="I10" i="12"/>
  <c r="E10" i="12"/>
  <c r="D10" i="12"/>
  <c r="C10" i="12"/>
  <c r="H10" i="12" s="1"/>
  <c r="I9" i="12"/>
  <c r="J9" i="12" s="1"/>
  <c r="D9" i="12"/>
  <c r="D15" i="12" s="1"/>
  <c r="C9" i="12"/>
  <c r="H9" i="12" s="1"/>
  <c r="H61" i="8"/>
  <c r="D61" i="8"/>
  <c r="L61" i="8" s="1"/>
  <c r="L60" i="8"/>
  <c r="H60" i="8"/>
  <c r="D60" i="8"/>
  <c r="K51" i="8"/>
  <c r="G51" i="8"/>
  <c r="O51" i="8" s="1"/>
  <c r="H50" i="8"/>
  <c r="D50" i="8"/>
  <c r="L50" i="8" s="1"/>
  <c r="K49" i="8"/>
  <c r="J49" i="8"/>
  <c r="H49" i="8"/>
  <c r="H53" i="8" s="1"/>
  <c r="G49" i="8"/>
  <c r="O49" i="8" s="1"/>
  <c r="F49" i="8"/>
  <c r="N49" i="8" s="1"/>
  <c r="D49" i="8"/>
  <c r="L49" i="8" s="1"/>
  <c r="O48" i="8"/>
  <c r="N48" i="8"/>
  <c r="G48" i="8"/>
  <c r="F48" i="8"/>
  <c r="D48" i="8"/>
  <c r="L48" i="8" s="1"/>
  <c r="L47" i="8"/>
  <c r="L53" i="8" s="1"/>
  <c r="G47" i="8"/>
  <c r="O47" i="8" s="1"/>
  <c r="F47" i="8"/>
  <c r="N47" i="8" s="1"/>
  <c r="D47" i="8"/>
  <c r="D53" i="8" s="1"/>
  <c r="I46" i="8"/>
  <c r="M46" i="8" s="1"/>
  <c r="E46" i="8"/>
  <c r="N45" i="8"/>
  <c r="M45" i="8"/>
  <c r="K45" i="8"/>
  <c r="J45" i="8"/>
  <c r="I45" i="8"/>
  <c r="G45" i="8"/>
  <c r="O45" i="8" s="1"/>
  <c r="F45" i="8"/>
  <c r="E45" i="8"/>
  <c r="O44" i="8"/>
  <c r="O54" i="8" s="1"/>
  <c r="N44" i="8"/>
  <c r="N54" i="8" s="1"/>
  <c r="K44" i="8"/>
  <c r="K54" i="8" s="1"/>
  <c r="J44" i="8"/>
  <c r="J54" i="8" s="1"/>
  <c r="I44" i="8"/>
  <c r="I54" i="8" s="1"/>
  <c r="G44" i="8"/>
  <c r="G54" i="8" s="1"/>
  <c r="F44" i="8"/>
  <c r="F54" i="8" s="1"/>
  <c r="E44" i="8"/>
  <c r="E54" i="8" s="1"/>
  <c r="I43" i="8"/>
  <c r="H43" i="8"/>
  <c r="H54" i="8" s="1"/>
  <c r="H55" i="8" s="1"/>
  <c r="E43" i="8"/>
  <c r="M43" i="8" s="1"/>
  <c r="D43" i="8"/>
  <c r="D54" i="8" s="1"/>
  <c r="D55" i="8" s="1"/>
  <c r="N42" i="8"/>
  <c r="M42" i="8"/>
  <c r="K42" i="8"/>
  <c r="J42" i="8"/>
  <c r="I42" i="8"/>
  <c r="G42" i="8"/>
  <c r="O42" i="8" s="1"/>
  <c r="F42" i="8"/>
  <c r="E42" i="8"/>
  <c r="O41" i="8"/>
  <c r="O53" i="8" s="1"/>
  <c r="N41" i="8"/>
  <c r="K41" i="8"/>
  <c r="K53" i="8" s="1"/>
  <c r="J41" i="8"/>
  <c r="J53" i="8" s="1"/>
  <c r="I41" i="8"/>
  <c r="I53" i="8" s="1"/>
  <c r="G41" i="8"/>
  <c r="G53" i="8" s="1"/>
  <c r="F41" i="8"/>
  <c r="F53" i="8" s="1"/>
  <c r="E41" i="8"/>
  <c r="E53" i="8" s="1"/>
  <c r="O40" i="8"/>
  <c r="N40" i="8"/>
  <c r="M40" i="8"/>
  <c r="L40" i="8"/>
  <c r="L29" i="8"/>
  <c r="H29" i="8"/>
  <c r="D29" i="8"/>
  <c r="H28" i="8"/>
  <c r="L28" i="8" s="1"/>
  <c r="D28" i="8"/>
  <c r="I22" i="8"/>
  <c r="E21" i="8"/>
  <c r="K19" i="8"/>
  <c r="G19" i="8"/>
  <c r="O19" i="8" s="1"/>
  <c r="H18" i="8"/>
  <c r="D18" i="8"/>
  <c r="L18" i="8" s="1"/>
  <c r="O17" i="8"/>
  <c r="K17" i="8"/>
  <c r="J17" i="8"/>
  <c r="H17" i="8"/>
  <c r="H21" i="8" s="1"/>
  <c r="G17" i="8"/>
  <c r="F17" i="8"/>
  <c r="N17" i="8" s="1"/>
  <c r="D17" i="8"/>
  <c r="L17" i="8" s="1"/>
  <c r="L16" i="8"/>
  <c r="G16" i="8"/>
  <c r="O16" i="8" s="1"/>
  <c r="F16" i="8"/>
  <c r="N16" i="8" s="1"/>
  <c r="D16" i="8"/>
  <c r="O15" i="8"/>
  <c r="N15" i="8"/>
  <c r="G15" i="8"/>
  <c r="F15" i="8"/>
  <c r="D15" i="8"/>
  <c r="D21" i="8" s="1"/>
  <c r="I14" i="8"/>
  <c r="E14" i="8"/>
  <c r="M14" i="8" s="1"/>
  <c r="O13" i="8"/>
  <c r="K13" i="8"/>
  <c r="J13" i="8"/>
  <c r="I13" i="8"/>
  <c r="G13" i="8"/>
  <c r="F13" i="8"/>
  <c r="N13" i="8" s="1"/>
  <c r="E13" i="8"/>
  <c r="M13" i="8" s="1"/>
  <c r="M12" i="8"/>
  <c r="K12" i="8"/>
  <c r="K22" i="8" s="1"/>
  <c r="J12" i="8"/>
  <c r="J22" i="8" s="1"/>
  <c r="I12" i="8"/>
  <c r="G12" i="8"/>
  <c r="G22" i="8" s="1"/>
  <c r="F12" i="8"/>
  <c r="N12" i="8" s="1"/>
  <c r="E12" i="8"/>
  <c r="I11" i="8"/>
  <c r="I20" i="8" s="1"/>
  <c r="H11" i="8"/>
  <c r="H22" i="8" s="1"/>
  <c r="H23" i="8" s="1"/>
  <c r="E11" i="8"/>
  <c r="M11" i="8" s="1"/>
  <c r="M21" i="8" s="1"/>
  <c r="D11" i="8"/>
  <c r="L11" i="8" s="1"/>
  <c r="O10" i="8"/>
  <c r="K10" i="8"/>
  <c r="J10" i="8"/>
  <c r="I10" i="8"/>
  <c r="G10" i="8"/>
  <c r="F10" i="8"/>
  <c r="N10" i="8" s="1"/>
  <c r="E10" i="8"/>
  <c r="M10" i="8" s="1"/>
  <c r="M9" i="8"/>
  <c r="K9" i="8"/>
  <c r="K21" i="8" s="1"/>
  <c r="J9" i="8"/>
  <c r="J21" i="8" s="1"/>
  <c r="I9" i="8"/>
  <c r="G9" i="8"/>
  <c r="G21" i="8" s="1"/>
  <c r="F9" i="8"/>
  <c r="N9" i="8" s="1"/>
  <c r="E9" i="8"/>
  <c r="O8" i="8"/>
  <c r="N8" i="8"/>
  <c r="M8" i="8"/>
  <c r="L8" i="8"/>
  <c r="G75" i="13"/>
  <c r="F75" i="13"/>
  <c r="E75" i="13"/>
  <c r="D75" i="13"/>
  <c r="C75" i="13"/>
  <c r="G69" i="13"/>
  <c r="C69" i="13"/>
  <c r="G68" i="13"/>
  <c r="F68" i="13"/>
  <c r="D68" i="13"/>
  <c r="D69" i="13" s="1"/>
  <c r="C68" i="13"/>
  <c r="G67" i="13"/>
  <c r="F67" i="13"/>
  <c r="F69" i="13" s="1"/>
  <c r="E67" i="13"/>
  <c r="D67" i="13"/>
  <c r="C67" i="13"/>
  <c r="G63" i="13"/>
  <c r="F63" i="13"/>
  <c r="D63" i="13"/>
  <c r="C63" i="13"/>
  <c r="E63" i="13" s="1"/>
  <c r="G62" i="13"/>
  <c r="F62" i="13"/>
  <c r="D62" i="13"/>
  <c r="E62" i="13" s="1"/>
  <c r="C62" i="13"/>
  <c r="G61" i="13"/>
  <c r="F61" i="13"/>
  <c r="E61" i="13"/>
  <c r="D61" i="13"/>
  <c r="C61" i="13"/>
  <c r="G59" i="13"/>
  <c r="F59" i="13"/>
  <c r="F64" i="13" s="1"/>
  <c r="F70" i="13" s="1"/>
  <c r="D59" i="13"/>
  <c r="C59" i="13"/>
  <c r="E59" i="13" s="1"/>
  <c r="G58" i="13"/>
  <c r="G64" i="13" s="1"/>
  <c r="G70" i="13" s="1"/>
  <c r="F58" i="13"/>
  <c r="D58" i="13"/>
  <c r="D64" i="13" s="1"/>
  <c r="C58" i="13"/>
  <c r="E58" i="13" s="1"/>
  <c r="P49" i="13"/>
  <c r="O49" i="13"/>
  <c r="N49" i="13"/>
  <c r="M49" i="13"/>
  <c r="N45" i="13"/>
  <c r="J45" i="13"/>
  <c r="P44" i="13"/>
  <c r="O44" i="13"/>
  <c r="N44" i="13"/>
  <c r="M44" i="13"/>
  <c r="P43" i="13"/>
  <c r="P45" i="13" s="1"/>
  <c r="O43" i="13"/>
  <c r="O45" i="13" s="1"/>
  <c r="N43" i="13"/>
  <c r="M43" i="13"/>
  <c r="M45" i="13" s="1"/>
  <c r="O40" i="13"/>
  <c r="O46" i="13" s="1"/>
  <c r="P39" i="13"/>
  <c r="O39" i="13"/>
  <c r="N39" i="13"/>
  <c r="M39" i="13"/>
  <c r="J39" i="13"/>
  <c r="P38" i="13"/>
  <c r="O38" i="13"/>
  <c r="N38" i="13"/>
  <c r="M38" i="13"/>
  <c r="J38" i="13"/>
  <c r="P37" i="13"/>
  <c r="O37" i="13"/>
  <c r="N37" i="13"/>
  <c r="M37" i="13"/>
  <c r="J37" i="13"/>
  <c r="J36" i="13"/>
  <c r="P35" i="13"/>
  <c r="O35" i="13"/>
  <c r="N35" i="13"/>
  <c r="M35" i="13"/>
  <c r="J35" i="13"/>
  <c r="P34" i="13"/>
  <c r="P40" i="13" s="1"/>
  <c r="P46" i="13" s="1"/>
  <c r="O34" i="13"/>
  <c r="N34" i="13"/>
  <c r="N40" i="13" s="1"/>
  <c r="N46" i="13" s="1"/>
  <c r="M34" i="13"/>
  <c r="M40" i="13" s="1"/>
  <c r="M46" i="13" s="1"/>
  <c r="J34" i="13"/>
  <c r="J40" i="13" s="1"/>
  <c r="J46" i="13" s="1"/>
  <c r="G25" i="13"/>
  <c r="F25" i="13"/>
  <c r="E25" i="13"/>
  <c r="D25" i="13"/>
  <c r="C25" i="13"/>
  <c r="G19" i="13"/>
  <c r="C19" i="13"/>
  <c r="G18" i="13"/>
  <c r="F18" i="13"/>
  <c r="D18" i="13"/>
  <c r="C18" i="13"/>
  <c r="E18" i="13" s="1"/>
  <c r="G17" i="13"/>
  <c r="F17" i="13"/>
  <c r="F19" i="13" s="1"/>
  <c r="E17" i="13"/>
  <c r="E19" i="13" s="1"/>
  <c r="D17" i="13"/>
  <c r="D19" i="13" s="1"/>
  <c r="C17" i="13"/>
  <c r="G13" i="13"/>
  <c r="F13" i="13"/>
  <c r="D13" i="13"/>
  <c r="C13" i="13"/>
  <c r="E13" i="13" s="1"/>
  <c r="G12" i="13"/>
  <c r="F12" i="13"/>
  <c r="D12" i="13"/>
  <c r="C12" i="13"/>
  <c r="E12" i="13" s="1"/>
  <c r="G11" i="13"/>
  <c r="F11" i="13"/>
  <c r="E11" i="13"/>
  <c r="D11" i="13"/>
  <c r="C11" i="13"/>
  <c r="G9" i="13"/>
  <c r="F9" i="13"/>
  <c r="F14" i="13" s="1"/>
  <c r="F20" i="13" s="1"/>
  <c r="D9" i="13"/>
  <c r="D14" i="13" s="1"/>
  <c r="D20" i="13" s="1"/>
  <c r="C9" i="13"/>
  <c r="G8" i="13"/>
  <c r="G14" i="13" s="1"/>
  <c r="G20" i="13" s="1"/>
  <c r="F8" i="13"/>
  <c r="D8" i="13"/>
  <c r="C8" i="13"/>
  <c r="E8" i="13" s="1"/>
  <c r="D70" i="13" l="1"/>
  <c r="G23" i="8"/>
  <c r="I55" i="8"/>
  <c r="O55" i="8"/>
  <c r="J11" i="12"/>
  <c r="N21" i="8"/>
  <c r="N20" i="8"/>
  <c r="I26" i="8"/>
  <c r="I27" i="8"/>
  <c r="M22" i="8"/>
  <c r="M23" i="8" s="1"/>
  <c r="E55" i="8"/>
  <c r="J55" i="8"/>
  <c r="J10" i="12"/>
  <c r="J15" i="12" s="1"/>
  <c r="J14" i="12"/>
  <c r="E69" i="13"/>
  <c r="L22" i="8"/>
  <c r="J23" i="8"/>
  <c r="F55" i="8"/>
  <c r="K55" i="8"/>
  <c r="E64" i="13"/>
  <c r="E70" i="13" s="1"/>
  <c r="M20" i="8"/>
  <c r="N22" i="8"/>
  <c r="N23" i="8" s="1"/>
  <c r="K23" i="8"/>
  <c r="I23" i="8"/>
  <c r="N53" i="8"/>
  <c r="G55" i="8"/>
  <c r="N55" i="8"/>
  <c r="H15" i="12"/>
  <c r="J13" i="12"/>
  <c r="E20" i="8"/>
  <c r="E9" i="13"/>
  <c r="E14" i="13" s="1"/>
  <c r="E20" i="13" s="1"/>
  <c r="O9" i="8"/>
  <c r="O12" i="8"/>
  <c r="O22" i="8" s="1"/>
  <c r="L15" i="8"/>
  <c r="L21" i="8" s="1"/>
  <c r="D20" i="8"/>
  <c r="H20" i="8"/>
  <c r="D22" i="8"/>
  <c r="D23" i="8" s="1"/>
  <c r="M41" i="8"/>
  <c r="L43" i="8"/>
  <c r="M44" i="8"/>
  <c r="M54" i="8" s="1"/>
  <c r="F52" i="8"/>
  <c r="J52" i="8"/>
  <c r="N52" i="8"/>
  <c r="C15" i="12"/>
  <c r="I15" i="12"/>
  <c r="G52" i="8"/>
  <c r="K52" i="8"/>
  <c r="O52" i="8"/>
  <c r="I21" i="8"/>
  <c r="E22" i="8"/>
  <c r="E23" i="8" s="1"/>
  <c r="C14" i="13"/>
  <c r="C20" i="13" s="1"/>
  <c r="C64" i="13"/>
  <c r="C70" i="13" s="1"/>
  <c r="E68" i="13"/>
  <c r="F20" i="8"/>
  <c r="J20" i="8"/>
  <c r="F21" i="8"/>
  <c r="F22" i="8"/>
  <c r="D52" i="8"/>
  <c r="H52" i="8"/>
  <c r="E9" i="12"/>
  <c r="E15" i="12" s="1"/>
  <c r="E11" i="12"/>
  <c r="E13" i="12"/>
  <c r="G20" i="8"/>
  <c r="K20" i="8"/>
  <c r="E52" i="8"/>
  <c r="I52" i="8"/>
  <c r="K27" i="8" l="1"/>
  <c r="K26" i="8"/>
  <c r="I59" i="8"/>
  <c r="I58" i="8"/>
  <c r="D59" i="8"/>
  <c r="D58" i="8"/>
  <c r="J59" i="8"/>
  <c r="J58" i="8"/>
  <c r="E59" i="8"/>
  <c r="E58" i="8"/>
  <c r="F23" i="8"/>
  <c r="F59" i="8"/>
  <c r="F58" i="8"/>
  <c r="M27" i="8"/>
  <c r="M26" i="8"/>
  <c r="N27" i="8"/>
  <c r="N26" i="8"/>
  <c r="M55" i="8"/>
  <c r="O21" i="8"/>
  <c r="O23" i="8" s="1"/>
  <c r="O20" i="8"/>
  <c r="L20" i="8"/>
  <c r="O59" i="8"/>
  <c r="O58" i="8"/>
  <c r="H27" i="8"/>
  <c r="H26" i="8"/>
  <c r="G27" i="8"/>
  <c r="G26" i="8"/>
  <c r="H59" i="8"/>
  <c r="H58" i="8"/>
  <c r="J27" i="8"/>
  <c r="J26" i="8"/>
  <c r="K59" i="8"/>
  <c r="K58" i="8"/>
  <c r="N59" i="8"/>
  <c r="N58" i="8"/>
  <c r="L54" i="8"/>
  <c r="L55" i="8" s="1"/>
  <c r="L52" i="8"/>
  <c r="D27" i="8"/>
  <c r="D26" i="8"/>
  <c r="L23" i="8"/>
  <c r="F27" i="8"/>
  <c r="F26" i="8"/>
  <c r="G59" i="8"/>
  <c r="G58" i="8"/>
  <c r="M53" i="8"/>
  <c r="M52" i="8"/>
  <c r="E27" i="8"/>
  <c r="E26" i="8"/>
  <c r="M59" i="8" l="1"/>
  <c r="M58" i="8"/>
  <c r="L59" i="8"/>
  <c r="L58" i="8"/>
  <c r="L27" i="8"/>
  <c r="L26" i="8"/>
  <c r="O27" i="8"/>
  <c r="O26" i="8"/>
</calcChain>
</file>

<file path=xl/sharedStrings.xml><?xml version="1.0" encoding="utf-8"?>
<sst xmlns="http://schemas.openxmlformats.org/spreadsheetml/2006/main" count="388" uniqueCount="176">
  <si>
    <t>Criteria Pollutant Benefit</t>
  </si>
  <si>
    <t>LCFS Benefit</t>
  </si>
  <si>
    <t>Gasoline Savings</t>
  </si>
  <si>
    <t>Federal Tax Credits</t>
  </si>
  <si>
    <t>Utility Bills</t>
  </si>
  <si>
    <t>Incremental Vehicle Cost</t>
  </si>
  <si>
    <t>SCT</t>
  </si>
  <si>
    <t>PCT</t>
  </si>
  <si>
    <t>TRC</t>
  </si>
  <si>
    <t>RIM</t>
  </si>
  <si>
    <t>Losses</t>
  </si>
  <si>
    <t>Grand Total</t>
  </si>
  <si>
    <t>Test Component</t>
  </si>
  <si>
    <t>EV Customer Costs &amp; Benefits</t>
  </si>
  <si>
    <t>EV Charger &amp; Admin Costs</t>
  </si>
  <si>
    <t>Electric Supply Costs</t>
  </si>
  <si>
    <t>Total Costs</t>
  </si>
  <si>
    <t>Total Benefits</t>
  </si>
  <si>
    <t>C/B Ratio</t>
  </si>
  <si>
    <t>Cost Effectiveness Tests - Illustrative Detailed Results</t>
  </si>
  <si>
    <t>Cost Components</t>
  </si>
  <si>
    <t>Total Elec. Supply Costs</t>
  </si>
  <si>
    <t>Energy Cost</t>
  </si>
  <si>
    <t>Capacity Cost</t>
  </si>
  <si>
    <t>Electricity Supply Costs - Illustrative Component Results</t>
  </si>
  <si>
    <t>T&amp;D Cost</t>
  </si>
  <si>
    <t>A/S Cost</t>
  </si>
  <si>
    <t>RPS Cost</t>
  </si>
  <si>
    <t>SB 350 Project</t>
  </si>
  <si>
    <t>Dealership Incentives</t>
  </si>
  <si>
    <t>Fleet Delivery</t>
  </si>
  <si>
    <t xml:space="preserve">[1] Vehicles represent the number of vehicles charged per day or otherwise associated with the project. </t>
  </si>
  <si>
    <t>Electrify Local Highways</t>
  </si>
  <si>
    <t>Airport GSE</t>
  </si>
  <si>
    <t>Total Priority Review Projects</t>
  </si>
  <si>
    <t>Program Case</t>
  </si>
  <si>
    <t>Reference Case</t>
  </si>
  <si>
    <t>Net Benefits</t>
  </si>
  <si>
    <t>State Rebates</t>
  </si>
  <si>
    <t>Charger Costs (Capital)</t>
  </si>
  <si>
    <t>Admin Costs (O&amp;M)</t>
  </si>
  <si>
    <t>Residential Charging Program</t>
  </si>
  <si>
    <t>Air Quality Improvements - Impact Estimates</t>
  </si>
  <si>
    <t>10</t>
  </si>
  <si>
    <t>8</t>
  </si>
  <si>
    <t>Priority Review Projects:</t>
  </si>
  <si>
    <t>Vehicles[1]
(Count)</t>
  </si>
  <si>
    <t>Life Time Impacts</t>
  </si>
  <si>
    <t>Electricity Fuel</t>
  </si>
  <si>
    <t>SB 350 Projects</t>
  </si>
  <si>
    <t>Assumed 
Vehicle Life (Years)</t>
  </si>
  <si>
    <t>GGE[1] Avoided</t>
  </si>
  <si>
    <t>(2017 NPV $ Millions)</t>
  </si>
  <si>
    <t>NPV Load (kWh)</t>
  </si>
  <si>
    <t>Figure 8-1</t>
  </si>
  <si>
    <t>GGE Fuel Avoided 
(Gals 000's)</t>
  </si>
  <si>
    <t>Emission Benefit Estimation Method</t>
  </si>
  <si>
    <t>(Generalized)</t>
  </si>
  <si>
    <t>-</t>
  </si>
  <si>
    <t>Petroleum 
Fuel 
Avoided</t>
  </si>
  <si>
    <t>=</t>
  </si>
  <si>
    <t>Net Emission Reductions</t>
  </si>
  <si>
    <t>Figure 8-2</t>
  </si>
  <si>
    <t>Electricity Fuel 
Used
(MWhrs)</t>
  </si>
  <si>
    <t>Charger Demand 
(kW)</t>
  </si>
  <si>
    <t>6.6 &amp; 50</t>
  </si>
  <si>
    <t>30</t>
  </si>
  <si>
    <t>NA</t>
  </si>
  <si>
    <t>19</t>
  </si>
  <si>
    <t>12</t>
  </si>
  <si>
    <t>6.6</t>
  </si>
  <si>
    <t>15 to 25</t>
  </si>
  <si>
    <t>Life Time Fuel Impacts</t>
  </si>
  <si>
    <t>Air Quality Benefits</t>
  </si>
  <si>
    <t>(2017 Levelized $/kWh)</t>
  </si>
  <si>
    <t>Electricity Fuel 
Used</t>
  </si>
  <si>
    <t>CO2 
(MT)</t>
  </si>
  <si>
    <t>CO2[2]
(MT)</t>
  </si>
  <si>
    <t>NOx
(MT)</t>
  </si>
  <si>
    <t>VOC
(MT)</t>
  </si>
  <si>
    <t>Residential Charging Program:</t>
  </si>
  <si>
    <t>1.6</t>
  </si>
  <si>
    <t>Dealership Incentives[2]</t>
  </si>
  <si>
    <t>[2] Dealership Incentives fuel impacts are not listed due to likely overlap with other projects and program.</t>
  </si>
  <si>
    <t>Net Residential Program Impacts</t>
  </si>
  <si>
    <t>Table 8-2 using Miscellaneous Results by Program (1-6-17).xlsx</t>
  </si>
  <si>
    <t>2025 Annual Impacts</t>
  </si>
  <si>
    <t>2025 Annual Fuel Impacts</t>
  </si>
  <si>
    <t>2017 NPV kWh</t>
  </si>
  <si>
    <t>2017 NPV MT CO2</t>
  </si>
  <si>
    <t>Table 8-1B: source =  Priority Projects Results 1-11-17.xlsx</t>
  </si>
  <si>
    <t>Green Taxi/Shuttle/Rideshare</t>
  </si>
  <si>
    <t>8 to10</t>
  </si>
  <si>
    <t>Residental Program  Scenario A</t>
  </si>
  <si>
    <t>Vehicle O&amp;M Savings</t>
  </si>
  <si>
    <t>MD/HD and Forklift</t>
  </si>
  <si>
    <t>Net
Air Quality
Benefits</t>
  </si>
  <si>
    <t>Net of Two Cases</t>
  </si>
  <si>
    <t>Residental Program  Scenario B</t>
  </si>
  <si>
    <t>SB 350 Project Cost-Effectiveness Tests</t>
  </si>
  <si>
    <t>Cost-Effectiveness Tests</t>
  </si>
  <si>
    <t>Test Components</t>
  </si>
  <si>
    <t>Cost</t>
  </si>
  <si>
    <t>Benefit</t>
  </si>
  <si>
    <t>Charger Costs</t>
  </si>
  <si>
    <t>Utility Capital Costs</t>
  </si>
  <si>
    <t>Admin. Costs</t>
  </si>
  <si>
    <t>Utility O&amp;M Costs</t>
  </si>
  <si>
    <t>Electricity Supply Costs</t>
  </si>
  <si>
    <t>Losses Cost</t>
  </si>
  <si>
    <t>Ancillary Services Cost</t>
  </si>
  <si>
    <t>LCFS Benefits</t>
  </si>
  <si>
    <t>Criteria Pollutants</t>
  </si>
  <si>
    <t>2010 Demand Response Cost Effectiveness Protocols</t>
  </si>
  <si>
    <t>Costs and Benefits of Demand Response</t>
  </si>
  <si>
    <t>Cost Tests</t>
  </si>
  <si>
    <t>Cost Test Component</t>
  </si>
  <si>
    <t>PAC</t>
  </si>
  <si>
    <t>Administrative costs</t>
  </si>
  <si>
    <t>COST</t>
  </si>
  <si>
    <t>Avoided costs of supplying electricity</t>
  </si>
  <si>
    <t>BENEFIT</t>
  </si>
  <si>
    <t>Bill Increases</t>
  </si>
  <si>
    <t>Bill Reductions</t>
  </si>
  <si>
    <t>CAISO Market Participation Revenue</t>
  </si>
  <si>
    <t>Capital costs to LSE</t>
  </si>
  <si>
    <t>Capital costs to participant</t>
  </si>
  <si>
    <t>Environmental benefits</t>
  </si>
  <si>
    <t>Incentives paid</t>
  </si>
  <si>
    <t>Increased supply costs</t>
  </si>
  <si>
    <t>Market benefits</t>
  </si>
  <si>
    <t>Non-energy/monetary benefits</t>
  </si>
  <si>
    <t>Revenue gain from increased sales</t>
  </si>
  <si>
    <t>Revenue loss from reduced sales</t>
  </si>
  <si>
    <t>Tax Credits</t>
  </si>
  <si>
    <t>Transaction costs to participant</t>
  </si>
  <si>
    <t>Value of service lost</t>
  </si>
  <si>
    <t>Shaded rows indicate those costs and benefits which are not included in the SPM but have been added to these Demand Response protocols.</t>
  </si>
  <si>
    <t>Source: (R.07-01-041) "2010 Demand Response Cost Effectiveness Protocols", Section 3 Table 1,   http://www.cpuc.ca.gov/NR/rdonlyres/7D2FEDB9-4FD6-4CCB-B88F-DC190DFE9AFA/0/Protocolsfinal.DOC</t>
  </si>
  <si>
    <t>The Five Principal Cost-Effectiveness Tests used in Energy Efficiency</t>
  </si>
  <si>
    <t>Cost Test</t>
  </si>
  <si>
    <t>Acronym</t>
  </si>
  <si>
    <t xml:space="preserve">Key Question Answered </t>
  </si>
  <si>
    <t xml:space="preserve">Summary Approach </t>
  </si>
  <si>
    <t>Participant Cost Test</t>
  </si>
  <si>
    <t>Will the participants benefit over the measure life?</t>
  </si>
  <si>
    <t>Comparison of costs and benefits of the customer installing the measure</t>
  </si>
  <si>
    <t>Program Administrator Cost</t>
  </si>
  <si>
    <t>Will utility bills increase?</t>
  </si>
  <si>
    <t>Comparison of program administrator costs to supply side resource costs</t>
  </si>
  <si>
    <t>Ratepayer Impact Measure</t>
  </si>
  <si>
    <t>Will utility rates increase?</t>
  </si>
  <si>
    <t>Comparison of administrator costs and utility bill reductions to supply side resource costs</t>
  </si>
  <si>
    <t xml:space="preserve">Total Resource Cost </t>
  </si>
  <si>
    <t>Will the total costs of energy in the utility service territory decrease?</t>
  </si>
  <si>
    <t>Comparison of program administrator and customer costs to utility resource savings</t>
  </si>
  <si>
    <t>Societal Cost Test</t>
  </si>
  <si>
    <t>Is the utility, state, or nation better off as a whole?</t>
  </si>
  <si>
    <t>Comparison of society’s costs of energy efficiency to resource savings and non-cash costs and benefits</t>
  </si>
  <si>
    <t>Source:  Standard Practice Manual:  Economic Analysis of Demand-Side Programs and Projects.</t>
  </si>
  <si>
    <t>Table 8-3</t>
  </si>
  <si>
    <t>Figure 8-3</t>
  </si>
  <si>
    <t>Figure 8-4</t>
  </si>
  <si>
    <t>NPV Units</t>
  </si>
  <si>
    <t>$ per kWh</t>
  </si>
  <si>
    <t>$per MT CO2</t>
  </si>
  <si>
    <t>$ 2017 Levelized</t>
  </si>
  <si>
    <t>Grand Total Costs &amp; Benefits</t>
  </si>
  <si>
    <t>Grand Total (Costs) &amp; Benefits</t>
  </si>
  <si>
    <t>Dealership Incentives [3]</t>
  </si>
  <si>
    <t>[3] Dealership Incentives impacts are not listed due to likely overlap with other projects and program.</t>
  </si>
  <si>
    <t>Table 8-1A using Miscellaneous Results by Program (1-6-17).xlsx</t>
  </si>
  <si>
    <t>[1] Gallons of Gasoline Equivalent (GGE).</t>
  </si>
  <si>
    <t>[2] Net Reductions is GGE Avoided minus Electric Fuel.</t>
  </si>
  <si>
    <t>Selected Vehicle and Charger Characteristics and Fuel Impacts</t>
  </si>
  <si>
    <t>Table 8-4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</si>
</sst>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&quot;$&quot;#,##0.0_);\(&quot;$&quot;#,##0.0\)"/>
    <numFmt numFmtId="166" formatCode="_(* #,##0_);_(* \(#,##0\);_(* &quot;-&quot;??_);_(@_)"/>
    <numFmt numFmtId="167" formatCode="_(&quot;$&quot;* #,##0_);_(&quot;$&quot;* \(#,##0\);_(&quot;$&quot;* &quot;-&quot;??_);_(@_)"/>
    <numFmt numFmtId="168" formatCode="&quot;$&quot;#,##0.0000_);\(&quot;$&quot;#,##0.00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7">
    <xf numFmtId="0" fontId="0" fillId="0" borderId="0" xfId="0"/>
    <xf numFmtId="6" fontId="0" fillId="0" borderId="0" xfId="0" applyNumberFormat="1"/>
    <xf numFmtId="0" fontId="4" fillId="0" borderId="4" xfId="0" applyFont="1" applyBorder="1"/>
    <xf numFmtId="0" fontId="4" fillId="0" borderId="0" xfId="0" applyFont="1" applyBorder="1"/>
    <xf numFmtId="0" fontId="4" fillId="0" borderId="6" xfId="0" applyFont="1" applyBorder="1"/>
    <xf numFmtId="0" fontId="5" fillId="0" borderId="0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7" xfId="0" applyFont="1" applyBorder="1"/>
    <xf numFmtId="0" fontId="4" fillId="0" borderId="17" xfId="0" applyFont="1" applyBorder="1"/>
    <xf numFmtId="0" fontId="4" fillId="0" borderId="26" xfId="0" applyFont="1" applyBorder="1"/>
    <xf numFmtId="0" fontId="4" fillId="0" borderId="27" xfId="0" applyFont="1" applyBorder="1"/>
    <xf numFmtId="0" fontId="4" fillId="0" borderId="12" xfId="0" applyFont="1" applyBorder="1"/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165" fontId="0" fillId="0" borderId="0" xfId="0" applyNumberFormat="1"/>
    <xf numFmtId="0" fontId="0" fillId="0" borderId="0" xfId="0"/>
    <xf numFmtId="165" fontId="6" fillId="2" borderId="22" xfId="0" applyNumberFormat="1" applyFont="1" applyFill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165" fontId="4" fillId="0" borderId="34" xfId="0" applyNumberFormat="1" applyFont="1" applyBorder="1" applyAlignment="1">
      <alignment horizontal="right"/>
    </xf>
    <xf numFmtId="165" fontId="4" fillId="0" borderId="15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5" fontId="4" fillId="2" borderId="9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5" fontId="4" fillId="2" borderId="15" xfId="0" applyNumberFormat="1" applyFont="1" applyFill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35" xfId="0" applyNumberFormat="1" applyFont="1" applyBorder="1" applyAlignment="1">
      <alignment horizontal="right"/>
    </xf>
    <xf numFmtId="165" fontId="4" fillId="0" borderId="19" xfId="0" applyNumberFormat="1" applyFont="1" applyBorder="1" applyAlignment="1">
      <alignment horizontal="right"/>
    </xf>
    <xf numFmtId="165" fontId="4" fillId="0" borderId="25" xfId="0" applyNumberFormat="1" applyFont="1" applyBorder="1" applyAlignment="1">
      <alignment horizontal="right"/>
    </xf>
    <xf numFmtId="0" fontId="4" fillId="0" borderId="16" xfId="0" applyFont="1" applyFill="1" applyBorder="1"/>
    <xf numFmtId="165" fontId="4" fillId="0" borderId="22" xfId="0" applyNumberFormat="1" applyFont="1" applyFill="1" applyBorder="1"/>
    <xf numFmtId="165" fontId="4" fillId="0" borderId="38" xfId="0" applyNumberFormat="1" applyFont="1" applyFill="1" applyBorder="1"/>
    <xf numFmtId="0" fontId="4" fillId="0" borderId="39" xfId="0" applyFont="1" applyFill="1" applyBorder="1"/>
    <xf numFmtId="165" fontId="4" fillId="0" borderId="31" xfId="0" applyNumberFormat="1" applyFont="1" applyFill="1" applyBorder="1"/>
    <xf numFmtId="165" fontId="4" fillId="0" borderId="40" xfId="0" applyNumberFormat="1" applyFont="1" applyFill="1" applyBorder="1"/>
    <xf numFmtId="165" fontId="4" fillId="0" borderId="4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6" fontId="0" fillId="0" borderId="0" xfId="2" applyNumberFormat="1" applyFont="1" applyAlignment="1">
      <alignment horizontal="center"/>
    </xf>
    <xf numFmtId="0" fontId="0" fillId="0" borderId="0" xfId="0" applyAlignment="1">
      <alignment horizontal="left"/>
    </xf>
    <xf numFmtId="166" fontId="0" fillId="0" borderId="46" xfId="2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66" fontId="0" fillId="0" borderId="46" xfId="2" applyNumberFormat="1" applyFont="1" applyBorder="1"/>
    <xf numFmtId="0" fontId="5" fillId="0" borderId="6" xfId="0" applyFont="1" applyBorder="1" applyAlignment="1">
      <alignment horizontal="center"/>
    </xf>
    <xf numFmtId="165" fontId="6" fillId="0" borderId="22" xfId="0" applyNumberFormat="1" applyFont="1" applyFill="1" applyBorder="1" applyAlignment="1">
      <alignment horizontal="right"/>
    </xf>
    <xf numFmtId="0" fontId="5" fillId="0" borderId="0" xfId="0" applyFont="1" applyBorder="1" applyAlignment="1"/>
    <xf numFmtId="0" fontId="0" fillId="0" borderId="0" xfId="0" applyBorder="1"/>
    <xf numFmtId="0" fontId="0" fillId="0" borderId="5" xfId="0" applyBorder="1"/>
    <xf numFmtId="165" fontId="4" fillId="0" borderId="15" xfId="0" applyNumberFormat="1" applyFont="1" applyFill="1" applyBorder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52" xfId="0" applyFont="1" applyBorder="1" applyAlignment="1">
      <alignment horizontal="center" wrapText="1"/>
    </xf>
    <xf numFmtId="0" fontId="5" fillId="0" borderId="51" xfId="0" applyFont="1" applyBorder="1" applyAlignment="1">
      <alignment horizontal="center" wrapText="1"/>
    </xf>
    <xf numFmtId="0" fontId="4" fillId="0" borderId="0" xfId="0" applyFont="1" applyFill="1" applyBorder="1"/>
    <xf numFmtId="166" fontId="3" fillId="0" borderId="45" xfId="2" applyNumberFormat="1" applyFont="1" applyBorder="1" applyAlignment="1">
      <alignment wrapText="1"/>
    </xf>
    <xf numFmtId="0" fontId="4" fillId="0" borderId="46" xfId="0" applyFont="1" applyBorder="1" applyAlignment="1">
      <alignment horizontal="left" indent="1"/>
    </xf>
    <xf numFmtId="166" fontId="4" fillId="0" borderId="46" xfId="2" applyNumberFormat="1" applyFont="1" applyBorder="1" applyAlignment="1">
      <alignment horizontal="left" indent="1"/>
    </xf>
    <xf numFmtId="0" fontId="3" fillId="0" borderId="20" xfId="0" applyFont="1" applyBorder="1" applyAlignment="1"/>
    <xf numFmtId="0" fontId="4" fillId="0" borderId="21" xfId="0" applyFont="1" applyBorder="1" applyAlignment="1">
      <alignment horizontal="left" indent="2"/>
    </xf>
    <xf numFmtId="0" fontId="4" fillId="0" borderId="21" xfId="0" applyFont="1" applyBorder="1" applyAlignment="1">
      <alignment horizontal="left" indent="1"/>
    </xf>
    <xf numFmtId="166" fontId="0" fillId="0" borderId="46" xfId="2" quotePrefix="1" applyNumberFormat="1" applyFont="1" applyBorder="1" applyAlignment="1">
      <alignment horizontal="center" vertical="center"/>
    </xf>
    <xf numFmtId="166" fontId="4" fillId="0" borderId="46" xfId="2" applyNumberFormat="1" applyFont="1" applyBorder="1" applyAlignment="1">
      <alignment horizontal="center"/>
    </xf>
    <xf numFmtId="166" fontId="3" fillId="0" borderId="46" xfId="2" applyNumberFormat="1" applyFont="1" applyBorder="1" applyAlignment="1">
      <alignment wrapText="1"/>
    </xf>
    <xf numFmtId="0" fontId="3" fillId="0" borderId="43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3" fillId="0" borderId="0" xfId="0" applyFont="1"/>
    <xf numFmtId="3" fontId="0" fillId="0" borderId="0" xfId="0" applyNumberFormat="1"/>
    <xf numFmtId="0" fontId="5" fillId="0" borderId="6" xfId="0" applyFont="1" applyBorder="1" applyAlignment="1">
      <alignment horizontal="center"/>
    </xf>
    <xf numFmtId="166" fontId="0" fillId="0" borderId="0" xfId="2" applyNumberFormat="1" applyFont="1"/>
    <xf numFmtId="166" fontId="4" fillId="0" borderId="45" xfId="2" applyNumberFormat="1" applyFont="1" applyBorder="1" applyAlignment="1">
      <alignment horizontal="left" indent="1"/>
    </xf>
    <xf numFmtId="166" fontId="4" fillId="0" borderId="45" xfId="2" applyNumberFormat="1" applyFont="1" applyBorder="1" applyAlignment="1">
      <alignment horizontal="center"/>
    </xf>
    <xf numFmtId="0" fontId="4" fillId="0" borderId="20" xfId="0" applyFont="1" applyBorder="1" applyAlignment="1"/>
    <xf numFmtId="166" fontId="3" fillId="0" borderId="17" xfId="2" applyNumberFormat="1" applyFont="1" applyBorder="1" applyAlignment="1">
      <alignment horizontal="center" wrapText="1"/>
    </xf>
    <xf numFmtId="166" fontId="3" fillId="0" borderId="26" xfId="2" applyNumberFormat="1" applyFont="1" applyBorder="1" applyAlignment="1">
      <alignment horizontal="center" wrapText="1"/>
    </xf>
    <xf numFmtId="166" fontId="3" fillId="0" borderId="53" xfId="2" applyNumberFormat="1" applyFont="1" applyBorder="1" applyAlignment="1">
      <alignment horizontal="center" wrapText="1"/>
    </xf>
    <xf numFmtId="0" fontId="4" fillId="0" borderId="31" xfId="0" applyFont="1" applyBorder="1" applyAlignment="1">
      <alignment horizontal="left"/>
    </xf>
    <xf numFmtId="166" fontId="4" fillId="0" borderId="32" xfId="2" applyNumberFormat="1" applyFont="1" applyBorder="1" applyAlignment="1">
      <alignment horizontal="left" indent="1"/>
    </xf>
    <xf numFmtId="43" fontId="4" fillId="0" borderId="43" xfId="2" applyFont="1" applyBorder="1" applyAlignment="1">
      <alignment horizontal="left" indent="1"/>
    </xf>
    <xf numFmtId="43" fontId="4" fillId="0" borderId="32" xfId="2" applyFont="1" applyBorder="1" applyAlignment="1">
      <alignment horizontal="left" indent="1"/>
    </xf>
    <xf numFmtId="43" fontId="4" fillId="0" borderId="33" xfId="2" applyFont="1" applyBorder="1" applyAlignment="1">
      <alignment horizontal="left" indent="1"/>
    </xf>
    <xf numFmtId="43" fontId="0" fillId="0" borderId="46" xfId="2" applyFont="1" applyBorder="1" applyAlignment="1">
      <alignment horizontal="center"/>
    </xf>
    <xf numFmtId="43" fontId="0" fillId="0" borderId="43" xfId="2" applyFont="1" applyBorder="1" applyAlignment="1">
      <alignment horizontal="center"/>
    </xf>
    <xf numFmtId="43" fontId="0" fillId="0" borderId="12" xfId="2" applyFont="1" applyBorder="1" applyAlignment="1">
      <alignment horizontal="center"/>
    </xf>
    <xf numFmtId="43" fontId="4" fillId="0" borderId="41" xfId="2" applyFont="1" applyBorder="1" applyAlignment="1">
      <alignment horizontal="left" indent="1"/>
    </xf>
    <xf numFmtId="166" fontId="0" fillId="0" borderId="46" xfId="2" applyNumberFormat="1" applyFont="1" applyBorder="1" applyAlignment="1">
      <alignment horizontal="center"/>
    </xf>
    <xf numFmtId="166" fontId="0" fillId="0" borderId="45" xfId="2" applyNumberFormat="1" applyFont="1" applyBorder="1" applyAlignment="1">
      <alignment horizontal="center"/>
    </xf>
    <xf numFmtId="0" fontId="0" fillId="0" borderId="46" xfId="0" applyBorder="1"/>
    <xf numFmtId="0" fontId="0" fillId="0" borderId="45" xfId="0" applyBorder="1"/>
    <xf numFmtId="0" fontId="3" fillId="0" borderId="9" xfId="0" applyFont="1" applyBorder="1" applyAlignment="1">
      <alignment horizontal="center"/>
    </xf>
    <xf numFmtId="166" fontId="3" fillId="0" borderId="9" xfId="2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166" fontId="4" fillId="0" borderId="0" xfId="2" applyNumberFormat="1" applyFont="1" applyBorder="1" applyAlignment="1">
      <alignment horizontal="left" indent="1"/>
    </xf>
    <xf numFmtId="43" fontId="4" fillId="0" borderId="0" xfId="2" applyFont="1" applyBorder="1" applyAlignment="1">
      <alignment horizontal="left" indent="1"/>
    </xf>
    <xf numFmtId="0" fontId="4" fillId="0" borderId="1" xfId="0" applyFont="1" applyFill="1" applyBorder="1"/>
    <xf numFmtId="165" fontId="4" fillId="0" borderId="54" xfId="0" applyNumberFormat="1" applyFont="1" applyFill="1" applyBorder="1"/>
    <xf numFmtId="165" fontId="4" fillId="0" borderId="55" xfId="0" applyNumberFormat="1" applyFont="1" applyFill="1" applyBorder="1"/>
    <xf numFmtId="0" fontId="4" fillId="0" borderId="4" xfId="0" applyFont="1" applyFill="1" applyBorder="1"/>
    <xf numFmtId="165" fontId="4" fillId="0" borderId="21" xfId="0" applyNumberFormat="1" applyFont="1" applyFill="1" applyBorder="1"/>
    <xf numFmtId="165" fontId="4" fillId="0" borderId="56" xfId="0" applyNumberFormat="1" applyFont="1" applyFill="1" applyBorder="1"/>
    <xf numFmtId="165" fontId="4" fillId="0" borderId="57" xfId="0" applyNumberFormat="1" applyFont="1" applyFill="1" applyBorder="1"/>
    <xf numFmtId="165" fontId="4" fillId="0" borderId="44" xfId="0" applyNumberFormat="1" applyFont="1" applyFill="1" applyBorder="1"/>
    <xf numFmtId="165" fontId="4" fillId="0" borderId="13" xfId="0" applyNumberFormat="1" applyFont="1" applyFill="1" applyBorder="1"/>
    <xf numFmtId="165" fontId="4" fillId="0" borderId="36" xfId="0" applyNumberFormat="1" applyFont="1" applyFill="1" applyBorder="1"/>
    <xf numFmtId="43" fontId="0" fillId="0" borderId="0" xfId="2" applyFont="1"/>
    <xf numFmtId="7" fontId="0" fillId="0" borderId="0" xfId="0" applyNumberFormat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12" xfId="0" applyBorder="1"/>
    <xf numFmtId="0" fontId="0" fillId="0" borderId="58" xfId="0" applyBorder="1"/>
    <xf numFmtId="0" fontId="0" fillId="0" borderId="13" xfId="0" applyBorder="1"/>
    <xf numFmtId="0" fontId="3" fillId="0" borderId="9" xfId="0" applyFont="1" applyBorder="1" applyAlignment="1">
      <alignment horizontal="center" wrapText="1"/>
    </xf>
    <xf numFmtId="0" fontId="7" fillId="0" borderId="0" xfId="0" quotePrefix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5" fillId="0" borderId="21" xfId="0" applyFont="1" applyBorder="1" applyAlignment="1"/>
    <xf numFmtId="0" fontId="4" fillId="0" borderId="15" xfId="0" applyFont="1" applyBorder="1" applyAlignment="1">
      <alignment horizontal="left"/>
    </xf>
    <xf numFmtId="166" fontId="4" fillId="0" borderId="9" xfId="2" applyNumberFormat="1" applyFont="1" applyBorder="1" applyAlignment="1">
      <alignment horizontal="center"/>
    </xf>
    <xf numFmtId="166" fontId="1" fillId="0" borderId="46" xfId="2" applyNumberFormat="1" applyFont="1" applyBorder="1" applyAlignment="1">
      <alignment horizontal="left" indent="1"/>
    </xf>
    <xf numFmtId="166" fontId="1" fillId="0" borderId="46" xfId="2" applyNumberFormat="1" applyFont="1" applyBorder="1"/>
    <xf numFmtId="43" fontId="1" fillId="0" borderId="0" xfId="2" applyFont="1" applyBorder="1" applyAlignment="1">
      <alignment horizontal="left" indent="1"/>
    </xf>
    <xf numFmtId="43" fontId="4" fillId="0" borderId="9" xfId="2" applyFont="1" applyBorder="1" applyAlignment="1">
      <alignment horizontal="center"/>
    </xf>
    <xf numFmtId="166" fontId="0" fillId="0" borderId="47" xfId="2" applyNumberFormat="1" applyFont="1" applyBorder="1" applyAlignment="1">
      <alignment horizontal="center"/>
    </xf>
    <xf numFmtId="166" fontId="0" fillId="0" borderId="48" xfId="2" applyNumberFormat="1" applyFont="1" applyBorder="1" applyAlignment="1">
      <alignment horizontal="center"/>
    </xf>
    <xf numFmtId="166" fontId="4" fillId="0" borderId="47" xfId="2" applyNumberFormat="1" applyFont="1" applyBorder="1" applyAlignment="1">
      <alignment horizontal="left" indent="1"/>
    </xf>
    <xf numFmtId="0" fontId="0" fillId="0" borderId="48" xfId="0" applyBorder="1"/>
    <xf numFmtId="166" fontId="4" fillId="0" borderId="33" xfId="2" applyNumberFormat="1" applyFont="1" applyBorder="1" applyAlignment="1">
      <alignment horizontal="left" indent="1"/>
    </xf>
    <xf numFmtId="166" fontId="4" fillId="0" borderId="9" xfId="2" applyNumberFormat="1" applyFont="1" applyBorder="1" applyAlignment="1">
      <alignment horizontal="left" indent="2"/>
    </xf>
    <xf numFmtId="166" fontId="4" fillId="0" borderId="9" xfId="2" quotePrefix="1" applyNumberFormat="1" applyFont="1" applyBorder="1" applyAlignment="1">
      <alignment horizontal="center"/>
    </xf>
    <xf numFmtId="164" fontId="4" fillId="0" borderId="46" xfId="2" quotePrefix="1" applyNumberFormat="1" applyFont="1" applyBorder="1" applyAlignment="1">
      <alignment horizontal="center"/>
    </xf>
    <xf numFmtId="166" fontId="4" fillId="0" borderId="46" xfId="2" quotePrefix="1" applyNumberFormat="1" applyFont="1" applyBorder="1" applyAlignment="1">
      <alignment horizontal="center"/>
    </xf>
    <xf numFmtId="166" fontId="0" fillId="0" borderId="48" xfId="2" applyNumberFormat="1" applyFont="1" applyBorder="1"/>
    <xf numFmtId="166" fontId="0" fillId="0" borderId="44" xfId="2" applyNumberFormat="1" applyFont="1" applyBorder="1" applyAlignment="1">
      <alignment horizontal="center"/>
    </xf>
    <xf numFmtId="166" fontId="4" fillId="0" borderId="42" xfId="2" applyNumberFormat="1" applyFont="1" applyBorder="1" applyAlignment="1">
      <alignment horizontal="left" indent="1"/>
    </xf>
    <xf numFmtId="166" fontId="0" fillId="0" borderId="44" xfId="2" applyNumberFormat="1" applyFont="1" applyBorder="1"/>
    <xf numFmtId="166" fontId="4" fillId="0" borderId="36" xfId="2" applyNumberFormat="1" applyFont="1" applyBorder="1" applyAlignment="1">
      <alignment horizontal="left" indent="1"/>
    </xf>
    <xf numFmtId="0" fontId="4" fillId="0" borderId="60" xfId="0" applyFont="1" applyBorder="1"/>
    <xf numFmtId="165" fontId="6" fillId="2" borderId="28" xfId="0" applyNumberFormat="1" applyFont="1" applyFill="1" applyBorder="1" applyAlignment="1">
      <alignment horizontal="right"/>
    </xf>
    <xf numFmtId="165" fontId="4" fillId="0" borderId="29" xfId="0" applyNumberFormat="1" applyFont="1" applyBorder="1" applyAlignment="1">
      <alignment horizontal="right"/>
    </xf>
    <xf numFmtId="165" fontId="4" fillId="0" borderId="30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166" fontId="3" fillId="0" borderId="45" xfId="2" applyNumberFormat="1" applyFont="1" applyBorder="1" applyAlignment="1">
      <alignment horizontal="center" wrapText="1"/>
    </xf>
    <xf numFmtId="0" fontId="3" fillId="0" borderId="45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/>
    <xf numFmtId="43" fontId="0" fillId="0" borderId="0" xfId="0" applyNumberFormat="1"/>
    <xf numFmtId="43" fontId="0" fillId="0" borderId="43" xfId="2" applyFont="1" applyFill="1" applyBorder="1" applyAlignment="1">
      <alignment horizontal="center"/>
    </xf>
    <xf numFmtId="43" fontId="4" fillId="0" borderId="6" xfId="2" applyFont="1" applyBorder="1" applyAlignment="1">
      <alignment horizontal="right"/>
    </xf>
    <xf numFmtId="43" fontId="4" fillId="0" borderId="7" xfId="2" applyFont="1" applyBorder="1" applyAlignment="1">
      <alignment horizontal="right"/>
    </xf>
    <xf numFmtId="43" fontId="4" fillId="0" borderId="8" xfId="2" applyFont="1" applyBorder="1" applyAlignment="1">
      <alignment horizontal="right"/>
    </xf>
    <xf numFmtId="43" fontId="4" fillId="0" borderId="6" xfId="2" applyFont="1" applyBorder="1" applyAlignment="1">
      <alignment horizontal="center"/>
    </xf>
    <xf numFmtId="43" fontId="4" fillId="0" borderId="7" xfId="2" applyFont="1" applyBorder="1" applyAlignment="1">
      <alignment horizontal="center"/>
    </xf>
    <xf numFmtId="43" fontId="4" fillId="0" borderId="8" xfId="2" applyFont="1" applyBorder="1" applyAlignment="1">
      <alignment horizontal="center"/>
    </xf>
    <xf numFmtId="0" fontId="0" fillId="0" borderId="4" xfId="0" applyFill="1" applyBorder="1"/>
    <xf numFmtId="166" fontId="3" fillId="0" borderId="41" xfId="2" applyNumberFormat="1" applyFont="1" applyFill="1" applyBorder="1" applyAlignment="1">
      <alignment horizontal="center" wrapText="1"/>
    </xf>
    <xf numFmtId="166" fontId="3" fillId="0" borderId="13" xfId="2" applyNumberFormat="1" applyFont="1" applyFill="1" applyBorder="1" applyAlignment="1">
      <alignment horizontal="center" wrapText="1"/>
    </xf>
    <xf numFmtId="166" fontId="3" fillId="0" borderId="9" xfId="2" applyNumberFormat="1" applyFont="1" applyFill="1" applyBorder="1" applyAlignment="1">
      <alignment horizontal="center" wrapText="1"/>
    </xf>
    <xf numFmtId="166" fontId="3" fillId="0" borderId="18" xfId="2" applyNumberFormat="1" applyFont="1" applyFill="1" applyBorder="1" applyAlignment="1">
      <alignment horizontal="center" wrapText="1"/>
    </xf>
    <xf numFmtId="166" fontId="3" fillId="0" borderId="14" xfId="2" applyNumberFormat="1" applyFont="1" applyFill="1" applyBorder="1" applyAlignment="1">
      <alignment horizontal="center" wrapText="1"/>
    </xf>
    <xf numFmtId="0" fontId="3" fillId="0" borderId="47" xfId="0" applyFont="1" applyBorder="1" applyAlignment="1">
      <alignment horizontal="center"/>
    </xf>
    <xf numFmtId="43" fontId="0" fillId="0" borderId="48" xfId="2" applyFont="1" applyBorder="1" applyAlignment="1">
      <alignment horizontal="center"/>
    </xf>
    <xf numFmtId="43" fontId="4" fillId="0" borderId="47" xfId="2" applyFont="1" applyBorder="1" applyAlignment="1">
      <alignment horizontal="left" indent="1"/>
    </xf>
    <xf numFmtId="43" fontId="4" fillId="0" borderId="48" xfId="2" applyFont="1" applyBorder="1" applyAlignment="1">
      <alignment horizontal="left" indent="1"/>
    </xf>
    <xf numFmtId="43" fontId="1" fillId="0" borderId="48" xfId="2" applyFont="1" applyBorder="1" applyAlignment="1">
      <alignment horizontal="left" indent="1"/>
    </xf>
    <xf numFmtId="43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left" indent="2"/>
    </xf>
    <xf numFmtId="0" fontId="4" fillId="0" borderId="2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5" fontId="4" fillId="0" borderId="15" xfId="0" applyNumberFormat="1" applyFont="1" applyBorder="1" applyAlignment="1">
      <alignment horizontal="right"/>
    </xf>
    <xf numFmtId="5" fontId="4" fillId="0" borderId="9" xfId="0" applyNumberFormat="1" applyFont="1" applyBorder="1" applyAlignment="1">
      <alignment horizontal="right"/>
    </xf>
    <xf numFmtId="5" fontId="4" fillId="0" borderId="14" xfId="0" applyNumberFormat="1" applyFont="1" applyBorder="1" applyAlignment="1">
      <alignment horizontal="right"/>
    </xf>
    <xf numFmtId="0" fontId="0" fillId="0" borderId="7" xfId="0" applyBorder="1"/>
    <xf numFmtId="0" fontId="4" fillId="0" borderId="5" xfId="0" applyFont="1" applyBorder="1"/>
    <xf numFmtId="0" fontId="5" fillId="0" borderId="6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13" xfId="0" applyFont="1" applyBorder="1" applyAlignment="1"/>
    <xf numFmtId="0" fontId="4" fillId="3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18" xfId="0" applyFont="1" applyBorder="1" applyAlignment="1"/>
    <xf numFmtId="0" fontId="4" fillId="3" borderId="18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42" xfId="0" applyFont="1" applyBorder="1" applyAlignment="1"/>
    <xf numFmtId="0" fontId="4" fillId="0" borderId="9" xfId="0" applyFont="1" applyFill="1" applyBorder="1" applyAlignment="1">
      <alignment horizontal="center"/>
    </xf>
    <xf numFmtId="0" fontId="4" fillId="0" borderId="36" xfId="0" applyFont="1" applyBorder="1" applyAlignment="1"/>
    <xf numFmtId="0" fontId="4" fillId="3" borderId="36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0" fillId="0" borderId="4" xfId="0" applyFont="1" applyBorder="1"/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168" fontId="4" fillId="0" borderId="54" xfId="0" applyNumberFormat="1" applyFont="1" applyFill="1" applyBorder="1"/>
    <xf numFmtId="168" fontId="4" fillId="0" borderId="57" xfId="0" applyNumberFormat="1" applyFont="1" applyFill="1" applyBorder="1"/>
    <xf numFmtId="168" fontId="4" fillId="0" borderId="55" xfId="0" applyNumberFormat="1" applyFont="1" applyFill="1" applyBorder="1"/>
    <xf numFmtId="168" fontId="4" fillId="0" borderId="21" xfId="0" applyNumberFormat="1" applyFont="1" applyFill="1" applyBorder="1"/>
    <xf numFmtId="168" fontId="4" fillId="0" borderId="44" xfId="0" applyNumberFormat="1" applyFont="1" applyFill="1" applyBorder="1"/>
    <xf numFmtId="168" fontId="4" fillId="0" borderId="56" xfId="0" applyNumberFormat="1" applyFont="1" applyFill="1" applyBorder="1"/>
    <xf numFmtId="168" fontId="4" fillId="0" borderId="22" xfId="0" applyNumberFormat="1" applyFont="1" applyFill="1" applyBorder="1"/>
    <xf numFmtId="168" fontId="4" fillId="0" borderId="13" xfId="0" applyNumberFormat="1" applyFont="1" applyFill="1" applyBorder="1"/>
    <xf numFmtId="168" fontId="4" fillId="0" borderId="38" xfId="0" applyNumberFormat="1" applyFont="1" applyFill="1" applyBorder="1"/>
    <xf numFmtId="168" fontId="4" fillId="0" borderId="31" xfId="0" applyNumberFormat="1" applyFont="1" applyFill="1" applyBorder="1"/>
    <xf numFmtId="168" fontId="4" fillId="0" borderId="36" xfId="0" applyNumberFormat="1" applyFont="1" applyFill="1" applyBorder="1"/>
    <xf numFmtId="168" fontId="4" fillId="0" borderId="40" xfId="0" applyNumberFormat="1" applyFont="1" applyFill="1" applyBorder="1"/>
    <xf numFmtId="0" fontId="4" fillId="3" borderId="13" xfId="0" applyFont="1" applyFill="1" applyBorder="1" applyAlignment="1">
      <alignment horizontal="center"/>
    </xf>
    <xf numFmtId="167" fontId="0" fillId="0" borderId="0" xfId="3" applyNumberFormat="1" applyFont="1"/>
    <xf numFmtId="43" fontId="4" fillId="0" borderId="0" xfId="2" applyFont="1" applyBorder="1" applyAlignment="1">
      <alignment horizontal="right"/>
    </xf>
    <xf numFmtId="43" fontId="4" fillId="0" borderId="0" xfId="2" applyFont="1" applyBorder="1" applyAlignment="1">
      <alignment horizontal="center"/>
    </xf>
    <xf numFmtId="7" fontId="4" fillId="0" borderId="9" xfId="0" applyNumberFormat="1" applyFont="1" applyBorder="1" applyAlignment="1">
      <alignment horizontal="right"/>
    </xf>
    <xf numFmtId="7" fontId="4" fillId="0" borderId="15" xfId="0" applyNumberFormat="1" applyFont="1" applyBorder="1" applyAlignment="1">
      <alignment horizontal="right"/>
    </xf>
    <xf numFmtId="7" fontId="4" fillId="0" borderId="14" xfId="0" applyNumberFormat="1" applyFont="1" applyBorder="1" applyAlignment="1">
      <alignment horizontal="right"/>
    </xf>
    <xf numFmtId="0" fontId="4" fillId="0" borderId="3" xfId="0" applyFont="1" applyBorder="1"/>
    <xf numFmtId="0" fontId="4" fillId="0" borderId="47" xfId="0" applyFont="1" applyFill="1" applyBorder="1"/>
    <xf numFmtId="0" fontId="4" fillId="0" borderId="34" xfId="0" applyFont="1" applyFill="1" applyBorder="1"/>
    <xf numFmtId="0" fontId="4" fillId="0" borderId="67" xfId="0" applyFont="1" applyFill="1" applyBorder="1"/>
    <xf numFmtId="166" fontId="0" fillId="0" borderId="59" xfId="2" applyNumberFormat="1" applyFont="1" applyBorder="1" applyAlignment="1"/>
    <xf numFmtId="165" fontId="0" fillId="0" borderId="64" xfId="0" applyNumberFormat="1" applyBorder="1"/>
    <xf numFmtId="0" fontId="5" fillId="0" borderId="1" xfId="0" applyFont="1" applyBorder="1"/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166" fontId="0" fillId="0" borderId="0" xfId="2" applyNumberFormat="1" applyFont="1" applyBorder="1" applyAlignment="1">
      <alignment horizontal="center" vertical="center"/>
    </xf>
    <xf numFmtId="166" fontId="0" fillId="0" borderId="0" xfId="2" applyNumberFormat="1" applyFont="1" applyBorder="1"/>
    <xf numFmtId="167" fontId="0" fillId="0" borderId="0" xfId="3" applyNumberFormat="1" applyFont="1" applyBorder="1"/>
    <xf numFmtId="44" fontId="0" fillId="0" borderId="0" xfId="3" applyFont="1" applyBorder="1"/>
    <xf numFmtId="166" fontId="0" fillId="0" borderId="0" xfId="2" applyNumberFormat="1" applyFont="1" applyBorder="1" applyAlignment="1">
      <alignment horizontal="right" vertical="center"/>
    </xf>
    <xf numFmtId="0" fontId="0" fillId="0" borderId="0" xfId="0" applyBorder="1" applyAlignment="1">
      <alignment horizontal="left"/>
    </xf>
    <xf numFmtId="166" fontId="0" fillId="0" borderId="0" xfId="2" applyNumberFormat="1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2" xfId="0" applyBorder="1" applyAlignment="1">
      <alignment horizontal="center"/>
    </xf>
    <xf numFmtId="0" fontId="4" fillId="0" borderId="39" xfId="0" applyFont="1" applyBorder="1" applyAlignment="1">
      <alignment horizontal="left" wrapText="1"/>
    </xf>
    <xf numFmtId="0" fontId="4" fillId="0" borderId="63" xfId="0" applyFont="1" applyBorder="1" applyAlignment="1">
      <alignment horizontal="left" wrapText="1"/>
    </xf>
    <xf numFmtId="0" fontId="4" fillId="0" borderId="64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66" fontId="3" fillId="0" borderId="0" xfId="2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6" fontId="5" fillId="0" borderId="4" xfId="2" applyNumberFormat="1" applyFont="1" applyBorder="1" applyAlignment="1">
      <alignment horizontal="center"/>
    </xf>
    <xf numFmtId="166" fontId="5" fillId="0" borderId="0" xfId="2" applyNumberFormat="1" applyFont="1" applyBorder="1" applyAlignment="1">
      <alignment horizontal="center"/>
    </xf>
    <xf numFmtId="166" fontId="5" fillId="0" borderId="5" xfId="2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66" fontId="3" fillId="0" borderId="45" xfId="2" applyNumberFormat="1" applyFont="1" applyFill="1" applyBorder="1" applyAlignment="1">
      <alignment horizontal="center" wrapText="1"/>
    </xf>
    <xf numFmtId="166" fontId="3" fillId="0" borderId="10" xfId="2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left"/>
    </xf>
    <xf numFmtId="0" fontId="0" fillId="0" borderId="58" xfId="0" applyFill="1" applyBorder="1" applyAlignment="1">
      <alignment horizontal="left"/>
    </xf>
    <xf numFmtId="0" fontId="0" fillId="0" borderId="59" xfId="0" applyFill="1" applyBorder="1" applyAlignment="1">
      <alignment horizontal="left"/>
    </xf>
    <xf numFmtId="166" fontId="5" fillId="0" borderId="4" xfId="2" applyNumberFormat="1" applyFont="1" applyFill="1" applyBorder="1" applyAlignment="1">
      <alignment horizontal="center"/>
    </xf>
    <xf numFmtId="166" fontId="5" fillId="0" borderId="0" xfId="2" applyNumberFormat="1" applyFont="1" applyFill="1" applyBorder="1" applyAlignment="1">
      <alignment horizontal="center"/>
    </xf>
    <xf numFmtId="166" fontId="5" fillId="0" borderId="5" xfId="2" applyNumberFormat="1" applyFont="1" applyFill="1" applyBorder="1" applyAlignment="1">
      <alignment horizontal="center"/>
    </xf>
    <xf numFmtId="166" fontId="3" fillId="0" borderId="26" xfId="2" applyNumberFormat="1" applyFont="1" applyFill="1" applyBorder="1" applyAlignment="1">
      <alignment horizontal="center"/>
    </xf>
    <xf numFmtId="166" fontId="3" fillId="0" borderId="53" xfId="2" applyNumberFormat="1" applyFont="1" applyFill="1" applyBorder="1" applyAlignment="1">
      <alignment horizontal="center"/>
    </xf>
    <xf numFmtId="166" fontId="3" fillId="0" borderId="17" xfId="2" applyNumberFormat="1" applyFont="1" applyFill="1" applyBorder="1" applyAlignment="1">
      <alignment horizontal="center"/>
    </xf>
    <xf numFmtId="166" fontId="3" fillId="0" borderId="18" xfId="2" applyNumberFormat="1" applyFont="1" applyFill="1" applyBorder="1" applyAlignment="1">
      <alignment horizontal="center"/>
    </xf>
    <xf numFmtId="0" fontId="4" fillId="0" borderId="5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6" fontId="0" fillId="0" borderId="16" xfId="2" applyNumberFormat="1" applyFont="1" applyBorder="1" applyAlignment="1">
      <alignment horizontal="center"/>
    </xf>
    <xf numFmtId="166" fontId="0" fillId="0" borderId="58" xfId="2" applyNumberFormat="1" applyFont="1" applyBorder="1" applyAlignment="1">
      <alignment horizontal="center"/>
    </xf>
    <xf numFmtId="166" fontId="0" fillId="0" borderId="39" xfId="2" applyNumberFormat="1" applyFont="1" applyBorder="1" applyAlignment="1">
      <alignment horizontal="center"/>
    </xf>
    <xf numFmtId="166" fontId="0" fillId="0" borderId="63" xfId="2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</cellXfs>
  <cellStyles count="4">
    <cellStyle name="Comma" xfId="2" builtinId="3"/>
    <cellStyle name="Currency" xfId="3" builtinId="4"/>
    <cellStyle name="Normal" xfId="0" builtinId="0"/>
    <cellStyle name="Normal 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Scenario A - Net Costs &amp; Benefits</a:t>
            </a:r>
          </a:p>
        </c:rich>
      </c:tx>
      <c:layout>
        <c:manualLayout>
          <c:xMode val="edge"/>
          <c:yMode val="edge"/>
          <c:x val="0.21550357282216714"/>
          <c:y val="3.43495816283820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176243779804207E-2"/>
          <c:y val="0.12641482462546147"/>
          <c:w val="0.64173577814760141"/>
          <c:h val="0.675710721167749"/>
        </c:manualLayout>
      </c:layout>
      <c:barChart>
        <c:barDir val="col"/>
        <c:grouping val="stacked"/>
        <c:varyColors val="0"/>
        <c:ser>
          <c:idx val="15"/>
          <c:order val="0"/>
          <c:tx>
            <c:strRef>
              <c:f>[2]DataForGraphs!$B$22</c:f>
              <c:strCache>
                <c:ptCount val="1"/>
                <c:pt idx="0">
                  <c:v>Criteria Pollutant Cost</c:v>
                </c:pt>
              </c:strCache>
            </c:strRef>
          </c:tx>
          <c:spPr>
            <a:solidFill>
              <a:srgbClr val="007E3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[2]DataForGraphs!$AF$22:$AP$22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0.53022122626999924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F99-45B3-8D1D-09320A0E9E23}"/>
            </c:ext>
          </c:extLst>
        </c:ser>
        <c:ser>
          <c:idx val="16"/>
          <c:order val="1"/>
          <c:tx>
            <c:strRef>
              <c:f>[2]DataForGraphs!$B$21</c:f>
              <c:strCache>
                <c:ptCount val="1"/>
                <c:pt idx="0">
                  <c:v>LCFS Credit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val>
            <c:numRef>
              <c:f>[2]DataForGraphs!$AF$21:$AP$21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63.301430818166494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F99-45B3-8D1D-09320A0E9E23}"/>
            </c:ext>
          </c:extLst>
        </c:ser>
        <c:ser>
          <c:idx val="9"/>
          <c:order val="2"/>
          <c:tx>
            <c:strRef>
              <c:f>[2]DataForGraphs!$B$17</c:f>
              <c:strCache>
                <c:ptCount val="1"/>
                <c:pt idx="0">
                  <c:v>Marginal RPS Premium</c:v>
                </c:pt>
              </c:strCache>
            </c:strRef>
          </c:tx>
          <c:spPr>
            <a:solidFill>
              <a:srgbClr val="6CCEF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[2]DataForGraphs!$AF$17:$AP$17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13.013857718664962</c:v>
                </c:pt>
                <c:pt idx="4">
                  <c:v>0</c:v>
                </c:pt>
                <c:pt idx="6">
                  <c:v>13.013857718664962</c:v>
                </c:pt>
                <c:pt idx="7">
                  <c:v>0</c:v>
                </c:pt>
                <c:pt idx="9">
                  <c:v>13.013857718664962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F99-45B3-8D1D-09320A0E9E23}"/>
            </c:ext>
          </c:extLst>
        </c:ser>
        <c:ser>
          <c:idx val="11"/>
          <c:order val="3"/>
          <c:tx>
            <c:strRef>
              <c:f>[2]DataForGraphs!$B$19</c:f>
              <c:strCache>
                <c:ptCount val="1"/>
                <c:pt idx="0">
                  <c:v>Marginal T&amp;D Cost</c:v>
                </c:pt>
              </c:strCache>
            </c:strRef>
          </c:tx>
          <c:spPr>
            <a:solidFill>
              <a:srgbClr val="4458D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[2]DataForGraphs!$AF$19:$AP$19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41.125753491996406</c:v>
                </c:pt>
                <c:pt idx="4">
                  <c:v>0</c:v>
                </c:pt>
                <c:pt idx="6">
                  <c:v>41.125753491996406</c:v>
                </c:pt>
                <c:pt idx="7">
                  <c:v>0</c:v>
                </c:pt>
                <c:pt idx="9">
                  <c:v>41.125753491996406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F99-45B3-8D1D-09320A0E9E23}"/>
            </c:ext>
          </c:extLst>
        </c:ser>
        <c:ser>
          <c:idx val="10"/>
          <c:order val="4"/>
          <c:tx>
            <c:strRef>
              <c:f>[2]DataForGraphs!$B$18</c:f>
              <c:strCache>
                <c:ptCount val="1"/>
                <c:pt idx="0">
                  <c:v>Marginal Gen Capacity Cost</c:v>
                </c:pt>
              </c:strCache>
            </c:strRef>
          </c:tx>
          <c:spPr>
            <a:solidFill>
              <a:srgbClr val="01344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[2]DataForGraphs!$AF$18:$AP$18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17.918528092455801</c:v>
                </c:pt>
                <c:pt idx="6">
                  <c:v>0</c:v>
                </c:pt>
                <c:pt idx="7">
                  <c:v>17.918528092455801</c:v>
                </c:pt>
                <c:pt idx="9">
                  <c:v>0</c:v>
                </c:pt>
                <c:pt idx="10">
                  <c:v>17.918528092455801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9-45B3-8D1D-09320A0E9E23}"/>
            </c:ext>
          </c:extLst>
        </c:ser>
        <c:ser>
          <c:idx val="8"/>
          <c:order val="5"/>
          <c:tx>
            <c:strRef>
              <c:f>[2]DataForGraphs!$B$16</c:f>
              <c:strCache>
                <c:ptCount val="1"/>
                <c:pt idx="0">
                  <c:v>Marginal A/S Cost</c:v>
                </c:pt>
              </c:strCache>
            </c:strRef>
          </c:tx>
          <c:spPr>
            <a:solidFill>
              <a:srgbClr val="0679AB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[2]DataForGraphs!$AF$16:$AP$16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0.41175930586024406</c:v>
                </c:pt>
                <c:pt idx="4">
                  <c:v>0</c:v>
                </c:pt>
                <c:pt idx="6">
                  <c:v>0.41175930586024406</c:v>
                </c:pt>
                <c:pt idx="7">
                  <c:v>0</c:v>
                </c:pt>
                <c:pt idx="9">
                  <c:v>0.41175930586024406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99-45B3-8D1D-09320A0E9E23}"/>
            </c:ext>
          </c:extLst>
        </c:ser>
        <c:ser>
          <c:idx val="7"/>
          <c:order val="6"/>
          <c:tx>
            <c:strRef>
              <c:f>[2]DataForGraphs!$B$15</c:f>
              <c:strCache>
                <c:ptCount val="1"/>
                <c:pt idx="0">
                  <c:v>Marginal Losses Cost</c:v>
                </c:pt>
              </c:strCache>
            </c:strRef>
          </c:tx>
          <c:spPr>
            <a:solidFill>
              <a:srgbClr val="349DC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[2]DataForGraphs!$AF$15:$AP$15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2.7231420458582503</c:v>
                </c:pt>
                <c:pt idx="4">
                  <c:v>0</c:v>
                </c:pt>
                <c:pt idx="6">
                  <c:v>2.7231420458582503</c:v>
                </c:pt>
                <c:pt idx="7">
                  <c:v>0</c:v>
                </c:pt>
                <c:pt idx="9">
                  <c:v>2.7231420458582503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99-45B3-8D1D-09320A0E9E23}"/>
            </c:ext>
          </c:extLst>
        </c:ser>
        <c:ser>
          <c:idx val="6"/>
          <c:order val="7"/>
          <c:tx>
            <c:strRef>
              <c:f>[2]DataForGraphs!$B$14</c:f>
              <c:strCache>
                <c:ptCount val="1"/>
                <c:pt idx="0">
                  <c:v>Marginal Energy Cost</c:v>
                </c:pt>
              </c:strCache>
            </c:strRef>
          </c:tx>
          <c:spPr>
            <a:solidFill>
              <a:srgbClr val="034E6E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[2]DataForGraphs!$AF$14:$AP$14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41.175930586024293</c:v>
                </c:pt>
                <c:pt idx="4">
                  <c:v>0</c:v>
                </c:pt>
                <c:pt idx="6">
                  <c:v>41.175930586024293</c:v>
                </c:pt>
                <c:pt idx="7">
                  <c:v>0</c:v>
                </c:pt>
                <c:pt idx="9">
                  <c:v>41.175930586024293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F99-45B3-8D1D-09320A0E9E23}"/>
            </c:ext>
          </c:extLst>
        </c:ser>
        <c:ser>
          <c:idx val="14"/>
          <c:order val="8"/>
          <c:tx>
            <c:strRef>
              <c:f>[2]DataForGraphs!$B$23</c:f>
              <c:strCache>
                <c:ptCount val="1"/>
                <c:pt idx="0">
                  <c:v>Program Cost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val>
            <c:numRef>
              <c:f>[2]DataForGraphs!$AF$23:$AP$23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42.726440106767924</c:v>
                </c:pt>
                <c:pt idx="4">
                  <c:v>0</c:v>
                </c:pt>
                <c:pt idx="6">
                  <c:v>42.726440106767924</c:v>
                </c:pt>
                <c:pt idx="7">
                  <c:v>0</c:v>
                </c:pt>
                <c:pt idx="9">
                  <c:v>42.726440106767924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99-45B3-8D1D-09320A0E9E23}"/>
            </c:ext>
          </c:extLst>
        </c:ser>
        <c:ser>
          <c:idx val="4"/>
          <c:order val="9"/>
          <c:tx>
            <c:strRef>
              <c:f>[2]DataForGraphs!$B$12</c:f>
              <c:strCache>
                <c:ptCount val="1"/>
                <c:pt idx="0">
                  <c:v>Utility Charger Cost</c:v>
                </c:pt>
              </c:strCache>
            </c:strRef>
          </c:tx>
          <c:spPr>
            <a:solidFill>
              <a:srgbClr val="FF5F3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[2]DataForGraphs!$AF$12:$AP$12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238.73729165030255</c:v>
                </c:pt>
                <c:pt idx="4">
                  <c:v>0</c:v>
                </c:pt>
                <c:pt idx="6">
                  <c:v>238.73729165030255</c:v>
                </c:pt>
                <c:pt idx="7">
                  <c:v>0</c:v>
                </c:pt>
                <c:pt idx="9">
                  <c:v>238.73729165030255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99-45B3-8D1D-09320A0E9E23}"/>
            </c:ext>
          </c:extLst>
        </c:ser>
        <c:ser>
          <c:idx val="2"/>
          <c:order val="10"/>
          <c:tx>
            <c:strRef>
              <c:f>[2]DataForGraphs!$B$10</c:f>
              <c:strCache>
                <c:ptCount val="1"/>
                <c:pt idx="0">
                  <c:v>State Tax Credit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[2]DataForGraphs!$AF$10:$AP$10</c:f>
              <c:numCache>
                <c:formatCode>General</c:formatCode>
                <c:ptCount val="11"/>
                <c:pt idx="0">
                  <c:v>0</c:v>
                </c:pt>
                <c:pt idx="1">
                  <c:v>3.1112535324152999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99-45B3-8D1D-09320A0E9E23}"/>
            </c:ext>
          </c:extLst>
        </c:ser>
        <c:ser>
          <c:idx val="1"/>
          <c:order val="11"/>
          <c:tx>
            <c:strRef>
              <c:f>[2]DataForGraphs!$B$9</c:f>
              <c:strCache>
                <c:ptCount val="1"/>
                <c:pt idx="0">
                  <c:v>Federal Tax Credit</c:v>
                </c:pt>
              </c:strCache>
            </c:strRef>
          </c:tx>
          <c:spPr>
            <a:solidFill>
              <a:srgbClr val="7617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[2]DataForGraphs!$AF$9:$AP$9</c:f>
              <c:numCache>
                <c:formatCode>General</c:formatCode>
                <c:ptCount val="11"/>
                <c:pt idx="0">
                  <c:v>0</c:v>
                </c:pt>
                <c:pt idx="1">
                  <c:v>33.033539487349898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33.033539487349898</c:v>
                </c:pt>
                <c:pt idx="9">
                  <c:v>0</c:v>
                </c:pt>
                <c:pt idx="10">
                  <c:v>33.033539487349898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99-45B3-8D1D-09320A0E9E23}"/>
            </c:ext>
          </c:extLst>
        </c:ser>
        <c:ser>
          <c:idx val="5"/>
          <c:order val="12"/>
          <c:tx>
            <c:strRef>
              <c:f>[2]DataForGraphs!$B$13</c:f>
              <c:strCache>
                <c:ptCount val="1"/>
                <c:pt idx="0">
                  <c:v>Utility Bills</c:v>
                </c:pt>
              </c:strCache>
            </c:strRef>
          </c:tx>
          <c:spPr>
            <a:solidFill>
              <a:srgbClr val="30D77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[2]DataForGraphs!$AF$13:$AP$13</c:f>
              <c:numCache>
                <c:formatCode>General</c:formatCode>
                <c:ptCount val="11"/>
                <c:pt idx="0">
                  <c:v>52.050875475381019</c:v>
                </c:pt>
                <c:pt idx="1">
                  <c:v>0</c:v>
                </c:pt>
                <c:pt idx="3">
                  <c:v>0</c:v>
                </c:pt>
                <c:pt idx="4">
                  <c:v>52.050875475381019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99-45B3-8D1D-09320A0E9E23}"/>
            </c:ext>
          </c:extLst>
        </c:ser>
        <c:ser>
          <c:idx val="12"/>
          <c:order val="13"/>
          <c:tx>
            <c:strRef>
              <c:f>[2]DataForGraphs!$B$20</c:f>
              <c:strCache>
                <c:ptCount val="1"/>
                <c:pt idx="0">
                  <c:v>Gasoline Cost</c:v>
                </c:pt>
              </c:strCache>
            </c:strRef>
          </c:tx>
          <c:spPr>
            <a:solidFill>
              <a:srgbClr val="969696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[2]DataForGraphs!$AF$20:$AP$20</c:f>
              <c:numCache>
                <c:formatCode>General</c:formatCode>
                <c:ptCount val="11"/>
                <c:pt idx="0">
                  <c:v>0</c:v>
                </c:pt>
                <c:pt idx="1">
                  <c:v>350.67691968189899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350.67691968189899</c:v>
                </c:pt>
                <c:pt idx="9">
                  <c:v>0</c:v>
                </c:pt>
                <c:pt idx="10">
                  <c:v>350.67691968189899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99-45B3-8D1D-09320A0E9E23}"/>
            </c:ext>
          </c:extLst>
        </c:ser>
        <c:ser>
          <c:idx val="13"/>
          <c:order val="14"/>
          <c:tx>
            <c:v>Vehicle O&amp;M Savings</c:v>
          </c:tx>
          <c:invertIfNegative val="0"/>
          <c:val>
            <c:numRef>
              <c:f>[2]DataForGraphs!$AF$7:$AP$7</c:f>
              <c:numCache>
                <c:formatCode>General</c:formatCode>
                <c:ptCount val="11"/>
                <c:pt idx="0">
                  <c:v>0</c:v>
                </c:pt>
                <c:pt idx="1">
                  <c:v>46.916657050190324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46.916657050190324</c:v>
                </c:pt>
                <c:pt idx="9">
                  <c:v>0</c:v>
                </c:pt>
                <c:pt idx="10">
                  <c:v>46.916657050190324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9-45B3-8D1D-09320A0E9E23}"/>
            </c:ext>
          </c:extLst>
        </c:ser>
        <c:ser>
          <c:idx val="0"/>
          <c:order val="15"/>
          <c:tx>
            <c:strRef>
              <c:f>[2]DataForGraphs!$B$8</c:f>
              <c:strCache>
                <c:ptCount val="1"/>
                <c:pt idx="0">
                  <c:v>Incremental Vehicle Cost</c:v>
                </c:pt>
              </c:strCache>
            </c:strRef>
          </c:tx>
          <c:spPr>
            <a:solidFill>
              <a:srgbClr val="AF22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[2]DataForGraphs!$AF$8:$AP$8</c:f>
              <c:numCache>
                <c:formatCode>General</c:formatCode>
                <c:ptCount val="11"/>
                <c:pt idx="0">
                  <c:v>228.99511344114597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228.99511344114597</c:v>
                </c:pt>
                <c:pt idx="7">
                  <c:v>0</c:v>
                </c:pt>
                <c:pt idx="9">
                  <c:v>228.99511344114597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99-45B3-8D1D-09320A0E9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"/>
        <c:overlap val="100"/>
        <c:axId val="181716480"/>
        <c:axId val="181718016"/>
      </c:barChart>
      <c:catAx>
        <c:axId val="18171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1718016"/>
        <c:crosses val="autoZero"/>
        <c:auto val="1"/>
        <c:lblAlgn val="ctr"/>
        <c:lblOffset val="100"/>
        <c:noMultiLvlLbl val="1"/>
      </c:catAx>
      <c:valAx>
        <c:axId val="181718016"/>
        <c:scaling>
          <c:orientation val="minMax"/>
          <c:max val="9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NPV Value (2017 $ millions)</a:t>
                </a:r>
              </a:p>
            </c:rich>
          </c:tx>
          <c:overlay val="0"/>
        </c:title>
        <c:numFmt formatCode="&quot;$&quot;#,##0" sourceLinked="0"/>
        <c:majorTickMark val="out"/>
        <c:minorTickMark val="none"/>
        <c:tickLblPos val="nextTo"/>
        <c:crossAx val="181716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921995016834598"/>
          <c:y val="1.9101271143689282E-2"/>
          <c:w val="0.23524401643661205"/>
          <c:h val="0.9663841878056020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Scenario B - Net Costs &amp; Benefits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20563848991003741"/>
          <c:y val="3.198212331274039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176243779804207E-2"/>
          <c:y val="0.12641482462546147"/>
          <c:w val="0.64173577814760141"/>
          <c:h val="0.675710721167749"/>
        </c:manualLayout>
      </c:layout>
      <c:barChart>
        <c:barDir val="col"/>
        <c:grouping val="stacked"/>
        <c:varyColors val="0"/>
        <c:ser>
          <c:idx val="15"/>
          <c:order val="0"/>
          <c:tx>
            <c:strRef>
              <c:f>[4]DataForGraphs!$B$22</c:f>
              <c:strCache>
                <c:ptCount val="1"/>
                <c:pt idx="0">
                  <c:v>Criteria Pollutant Cost</c:v>
                </c:pt>
              </c:strCache>
            </c:strRef>
          </c:tx>
          <c:spPr>
            <a:solidFill>
              <a:srgbClr val="007E3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[4]DataForGraphs!$AF$22:$AP$22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0.53022122626999924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F99-45B3-8D1D-09320A0E9E23}"/>
            </c:ext>
          </c:extLst>
        </c:ser>
        <c:ser>
          <c:idx val="16"/>
          <c:order val="1"/>
          <c:tx>
            <c:strRef>
              <c:f>[4]DataForGraphs!$B$21</c:f>
              <c:strCache>
                <c:ptCount val="1"/>
                <c:pt idx="0">
                  <c:v>LCFS Credit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val>
            <c:numRef>
              <c:f>[4]DataForGraphs!$AF$21:$AP$21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63.301430818166494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F99-45B3-8D1D-09320A0E9E23}"/>
            </c:ext>
          </c:extLst>
        </c:ser>
        <c:ser>
          <c:idx val="9"/>
          <c:order val="2"/>
          <c:tx>
            <c:strRef>
              <c:f>[4]DataForGraphs!$B$17</c:f>
              <c:strCache>
                <c:ptCount val="1"/>
                <c:pt idx="0">
                  <c:v>Marginal RPS Premium</c:v>
                </c:pt>
              </c:strCache>
            </c:strRef>
          </c:tx>
          <c:spPr>
            <a:solidFill>
              <a:srgbClr val="6CCEF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[4]DataForGraphs!$AF$17:$AP$17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13.013857718664962</c:v>
                </c:pt>
                <c:pt idx="4">
                  <c:v>0</c:v>
                </c:pt>
                <c:pt idx="6">
                  <c:v>13.013857718664962</c:v>
                </c:pt>
                <c:pt idx="7">
                  <c:v>0</c:v>
                </c:pt>
                <c:pt idx="9">
                  <c:v>13.013857718664962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F99-45B3-8D1D-09320A0E9E23}"/>
            </c:ext>
          </c:extLst>
        </c:ser>
        <c:ser>
          <c:idx val="11"/>
          <c:order val="3"/>
          <c:tx>
            <c:strRef>
              <c:f>[4]DataForGraphs!$B$19</c:f>
              <c:strCache>
                <c:ptCount val="1"/>
                <c:pt idx="0">
                  <c:v>Marginal T&amp;D Cost</c:v>
                </c:pt>
              </c:strCache>
            </c:strRef>
          </c:tx>
          <c:spPr>
            <a:solidFill>
              <a:srgbClr val="4458D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[4]DataForGraphs!$AF$19:$AP$19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41.125753491996406</c:v>
                </c:pt>
                <c:pt idx="4">
                  <c:v>0</c:v>
                </c:pt>
                <c:pt idx="6">
                  <c:v>41.125753491996406</c:v>
                </c:pt>
                <c:pt idx="7">
                  <c:v>0</c:v>
                </c:pt>
                <c:pt idx="9">
                  <c:v>41.125753491996406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F99-45B3-8D1D-09320A0E9E23}"/>
            </c:ext>
          </c:extLst>
        </c:ser>
        <c:ser>
          <c:idx val="10"/>
          <c:order val="4"/>
          <c:tx>
            <c:strRef>
              <c:f>[4]DataForGraphs!$B$18</c:f>
              <c:strCache>
                <c:ptCount val="1"/>
                <c:pt idx="0">
                  <c:v>Marginal Gen Capacity Cost</c:v>
                </c:pt>
              </c:strCache>
            </c:strRef>
          </c:tx>
          <c:spPr>
            <a:solidFill>
              <a:srgbClr val="01344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[4]DataForGraphs!$AF$18:$AP$18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17.918528092455801</c:v>
                </c:pt>
                <c:pt idx="6">
                  <c:v>0</c:v>
                </c:pt>
                <c:pt idx="7">
                  <c:v>17.918528092455801</c:v>
                </c:pt>
                <c:pt idx="9">
                  <c:v>0</c:v>
                </c:pt>
                <c:pt idx="10">
                  <c:v>17.918528092455801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9-45B3-8D1D-09320A0E9E23}"/>
            </c:ext>
          </c:extLst>
        </c:ser>
        <c:ser>
          <c:idx val="8"/>
          <c:order val="5"/>
          <c:tx>
            <c:strRef>
              <c:f>[4]DataForGraphs!$B$16</c:f>
              <c:strCache>
                <c:ptCount val="1"/>
                <c:pt idx="0">
                  <c:v>Marginal A/S Cost</c:v>
                </c:pt>
              </c:strCache>
            </c:strRef>
          </c:tx>
          <c:spPr>
            <a:solidFill>
              <a:srgbClr val="0679AB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[4]DataForGraphs!$AF$16:$AP$16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0.41175930586024406</c:v>
                </c:pt>
                <c:pt idx="4">
                  <c:v>0</c:v>
                </c:pt>
                <c:pt idx="6">
                  <c:v>0.41175930586024406</c:v>
                </c:pt>
                <c:pt idx="7">
                  <c:v>0</c:v>
                </c:pt>
                <c:pt idx="9">
                  <c:v>0.41175930586024406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99-45B3-8D1D-09320A0E9E23}"/>
            </c:ext>
          </c:extLst>
        </c:ser>
        <c:ser>
          <c:idx val="7"/>
          <c:order val="6"/>
          <c:tx>
            <c:strRef>
              <c:f>[4]DataForGraphs!$B$15</c:f>
              <c:strCache>
                <c:ptCount val="1"/>
                <c:pt idx="0">
                  <c:v>Marginal Losses Cost</c:v>
                </c:pt>
              </c:strCache>
            </c:strRef>
          </c:tx>
          <c:spPr>
            <a:solidFill>
              <a:srgbClr val="349DCA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[4]DataForGraphs!$AF$15:$AP$15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2.7231420458582503</c:v>
                </c:pt>
                <c:pt idx="4">
                  <c:v>0</c:v>
                </c:pt>
                <c:pt idx="6">
                  <c:v>2.7231420458582503</c:v>
                </c:pt>
                <c:pt idx="7">
                  <c:v>0</c:v>
                </c:pt>
                <c:pt idx="9">
                  <c:v>2.7231420458582503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99-45B3-8D1D-09320A0E9E23}"/>
            </c:ext>
          </c:extLst>
        </c:ser>
        <c:ser>
          <c:idx val="6"/>
          <c:order val="7"/>
          <c:tx>
            <c:strRef>
              <c:f>[4]DataForGraphs!$B$14</c:f>
              <c:strCache>
                <c:ptCount val="1"/>
                <c:pt idx="0">
                  <c:v>Marginal Energy Cost</c:v>
                </c:pt>
              </c:strCache>
            </c:strRef>
          </c:tx>
          <c:spPr>
            <a:solidFill>
              <a:srgbClr val="034E6E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[4]DataForGraphs!$AF$14:$AP$14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41.175930586024293</c:v>
                </c:pt>
                <c:pt idx="4">
                  <c:v>0</c:v>
                </c:pt>
                <c:pt idx="6">
                  <c:v>41.175930586024293</c:v>
                </c:pt>
                <c:pt idx="7">
                  <c:v>0</c:v>
                </c:pt>
                <c:pt idx="9">
                  <c:v>41.175930586024293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F99-45B3-8D1D-09320A0E9E23}"/>
            </c:ext>
          </c:extLst>
        </c:ser>
        <c:ser>
          <c:idx val="14"/>
          <c:order val="8"/>
          <c:tx>
            <c:strRef>
              <c:f>[4]DataForGraphs!$B$23</c:f>
              <c:strCache>
                <c:ptCount val="1"/>
                <c:pt idx="0">
                  <c:v>Program Cost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val>
            <c:numRef>
              <c:f>[4]DataForGraphs!$AF$23:$AP$23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42.726440106767924</c:v>
                </c:pt>
                <c:pt idx="4">
                  <c:v>0</c:v>
                </c:pt>
                <c:pt idx="6">
                  <c:v>42.726440106767924</c:v>
                </c:pt>
                <c:pt idx="7">
                  <c:v>0</c:v>
                </c:pt>
                <c:pt idx="9">
                  <c:v>42.726440106767924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99-45B3-8D1D-09320A0E9E23}"/>
            </c:ext>
          </c:extLst>
        </c:ser>
        <c:ser>
          <c:idx val="4"/>
          <c:order val="9"/>
          <c:tx>
            <c:strRef>
              <c:f>[4]DataForGraphs!$B$12</c:f>
              <c:strCache>
                <c:ptCount val="1"/>
                <c:pt idx="0">
                  <c:v>Utility Charger Cost</c:v>
                </c:pt>
              </c:strCache>
            </c:strRef>
          </c:tx>
          <c:spPr>
            <a:solidFill>
              <a:srgbClr val="FF5F39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[4]DataForGraphs!$AF$12:$AP$12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238.73729165030255</c:v>
                </c:pt>
                <c:pt idx="4">
                  <c:v>0</c:v>
                </c:pt>
                <c:pt idx="6">
                  <c:v>238.73729165030255</c:v>
                </c:pt>
                <c:pt idx="7">
                  <c:v>0</c:v>
                </c:pt>
                <c:pt idx="9">
                  <c:v>238.73729165030255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99-45B3-8D1D-09320A0E9E23}"/>
            </c:ext>
          </c:extLst>
        </c:ser>
        <c:ser>
          <c:idx val="2"/>
          <c:order val="10"/>
          <c:tx>
            <c:strRef>
              <c:f>[4]DataForGraphs!$B$10</c:f>
              <c:strCache>
                <c:ptCount val="1"/>
                <c:pt idx="0">
                  <c:v>State Tax Credit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[4]DataForGraphs!$AF$10:$AP$10</c:f>
              <c:numCache>
                <c:formatCode>General</c:formatCode>
                <c:ptCount val="11"/>
                <c:pt idx="0">
                  <c:v>0</c:v>
                </c:pt>
                <c:pt idx="1">
                  <c:v>3.1331008638419497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99-45B3-8D1D-09320A0E9E23}"/>
            </c:ext>
          </c:extLst>
        </c:ser>
        <c:ser>
          <c:idx val="1"/>
          <c:order val="11"/>
          <c:tx>
            <c:strRef>
              <c:f>[4]DataForGraphs!$B$9</c:f>
              <c:strCache>
                <c:ptCount val="1"/>
                <c:pt idx="0">
                  <c:v>Federal Tax Credit</c:v>
                </c:pt>
              </c:strCache>
            </c:strRef>
          </c:tx>
          <c:spPr>
            <a:solidFill>
              <a:srgbClr val="7617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[4]DataForGraphs!$AF$9:$AP$9</c:f>
              <c:numCache>
                <c:formatCode>General</c:formatCode>
                <c:ptCount val="11"/>
                <c:pt idx="0">
                  <c:v>0</c:v>
                </c:pt>
                <c:pt idx="1">
                  <c:v>131.1155679299932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131.1155679299932</c:v>
                </c:pt>
                <c:pt idx="9">
                  <c:v>0</c:v>
                </c:pt>
                <c:pt idx="10">
                  <c:v>131.1155679299932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99-45B3-8D1D-09320A0E9E23}"/>
            </c:ext>
          </c:extLst>
        </c:ser>
        <c:ser>
          <c:idx val="5"/>
          <c:order val="12"/>
          <c:tx>
            <c:strRef>
              <c:f>[4]DataForGraphs!$B$13</c:f>
              <c:strCache>
                <c:ptCount val="1"/>
                <c:pt idx="0">
                  <c:v>Utility Bills</c:v>
                </c:pt>
              </c:strCache>
            </c:strRef>
          </c:tx>
          <c:spPr>
            <a:solidFill>
              <a:srgbClr val="30D773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[4]DataForGraphs!$AF$13:$AP$13</c:f>
              <c:numCache>
                <c:formatCode>General</c:formatCode>
                <c:ptCount val="11"/>
                <c:pt idx="0">
                  <c:v>52.050875475381019</c:v>
                </c:pt>
                <c:pt idx="1">
                  <c:v>0</c:v>
                </c:pt>
                <c:pt idx="3">
                  <c:v>0</c:v>
                </c:pt>
                <c:pt idx="4">
                  <c:v>52.050875475381019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99-45B3-8D1D-09320A0E9E23}"/>
            </c:ext>
          </c:extLst>
        </c:ser>
        <c:ser>
          <c:idx val="12"/>
          <c:order val="13"/>
          <c:tx>
            <c:strRef>
              <c:f>[4]DataForGraphs!$B$20</c:f>
              <c:strCache>
                <c:ptCount val="1"/>
                <c:pt idx="0">
                  <c:v>Gasoline Cost</c:v>
                </c:pt>
              </c:strCache>
            </c:strRef>
          </c:tx>
          <c:spPr>
            <a:solidFill>
              <a:srgbClr val="969696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[4]DataForGraphs!$AF$20:$AP$20</c:f>
              <c:numCache>
                <c:formatCode>General</c:formatCode>
                <c:ptCount val="11"/>
                <c:pt idx="0">
                  <c:v>0</c:v>
                </c:pt>
                <c:pt idx="1">
                  <c:v>438.44903067566793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438.44903067566793</c:v>
                </c:pt>
                <c:pt idx="9">
                  <c:v>0</c:v>
                </c:pt>
                <c:pt idx="10">
                  <c:v>438.44903067566793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99-45B3-8D1D-09320A0E9E23}"/>
            </c:ext>
          </c:extLst>
        </c:ser>
        <c:ser>
          <c:idx val="13"/>
          <c:order val="14"/>
          <c:tx>
            <c:v>Vehicle O&amp;M Savings</c:v>
          </c:tx>
          <c:invertIfNegative val="0"/>
          <c:val>
            <c:numRef>
              <c:f>[2]DataForGraphs!$AF$7:$AP$7</c:f>
              <c:numCache>
                <c:formatCode>General</c:formatCode>
                <c:ptCount val="11"/>
                <c:pt idx="0">
                  <c:v>0</c:v>
                </c:pt>
                <c:pt idx="1">
                  <c:v>46.916657050190324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46.916657050190324</c:v>
                </c:pt>
                <c:pt idx="9">
                  <c:v>0</c:v>
                </c:pt>
                <c:pt idx="10">
                  <c:v>46.916657050190324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9-45B3-8D1D-09320A0E9E23}"/>
            </c:ext>
          </c:extLst>
        </c:ser>
        <c:ser>
          <c:idx val="0"/>
          <c:order val="15"/>
          <c:tx>
            <c:strRef>
              <c:f>[4]DataForGraphs!$B$8</c:f>
              <c:strCache>
                <c:ptCount val="1"/>
                <c:pt idx="0">
                  <c:v>Incremental Vehicle Cost</c:v>
                </c:pt>
              </c:strCache>
            </c:strRef>
          </c:tx>
          <c:spPr>
            <a:solidFill>
              <a:srgbClr val="AF2200"/>
            </a:solidFill>
          </c:spPr>
          <c:invertIfNegative val="0"/>
          <c:cat>
            <c:strRef>
              <c:f>[2]DataForGraphs!$AF$6:$AP$6</c:f>
              <c:strCache>
                <c:ptCount val="11"/>
                <c:pt idx="0">
                  <c:v>Cost</c:v>
                </c:pt>
                <c:pt idx="1">
                  <c:v>Benefit</c:v>
                </c:pt>
                <c:pt idx="3">
                  <c:v>Cost</c:v>
                </c:pt>
                <c:pt idx="4">
                  <c:v>Benefit</c:v>
                </c:pt>
                <c:pt idx="6">
                  <c:v>Cost</c:v>
                </c:pt>
                <c:pt idx="7">
                  <c:v>Benefit</c:v>
                </c:pt>
                <c:pt idx="9">
                  <c:v>Cost</c:v>
                </c:pt>
                <c:pt idx="10">
                  <c:v>Benefit</c:v>
                </c:pt>
              </c:strCache>
            </c:strRef>
          </c:cat>
          <c:val>
            <c:numRef>
              <c:f>[4]DataForGraphs!$AF$8:$AP$8</c:f>
              <c:numCache>
                <c:formatCode>General</c:formatCode>
                <c:ptCount val="11"/>
                <c:pt idx="0">
                  <c:v>134.24866879383509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134.24866879383509</c:v>
                </c:pt>
                <c:pt idx="7">
                  <c:v>0</c:v>
                </c:pt>
                <c:pt idx="9">
                  <c:v>134.24866879383509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99-45B3-8D1D-09320A0E9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"/>
        <c:overlap val="100"/>
        <c:axId val="182685056"/>
        <c:axId val="182695040"/>
      </c:barChart>
      <c:catAx>
        <c:axId val="18268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2695040"/>
        <c:crosses val="autoZero"/>
        <c:auto val="1"/>
        <c:lblAlgn val="ctr"/>
        <c:lblOffset val="100"/>
        <c:noMultiLvlLbl val="1"/>
      </c:catAx>
      <c:valAx>
        <c:axId val="182695040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NPV Value (2017 $ millions)</a:t>
                </a:r>
              </a:p>
            </c:rich>
          </c:tx>
          <c:overlay val="0"/>
        </c:title>
        <c:numFmt formatCode="&quot;$&quot;#,##0" sourceLinked="0"/>
        <c:majorTickMark val="out"/>
        <c:minorTickMark val="none"/>
        <c:tickLblPos val="nextTo"/>
        <c:crossAx val="182685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02166887115919"/>
          <c:y val="1.6310505922424834E-2"/>
          <c:w val="0.23697832770903637"/>
          <c:h val="0.9590020355279673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Electricity Supply Costs - Component Results </a:t>
            </a:r>
          </a:p>
          <a:p>
            <a:pPr>
              <a:defRPr/>
            </a:pPr>
            <a:r>
              <a:rPr lang="en-US" sz="1400"/>
              <a:t>(Levelized $/kWh</a:t>
            </a:r>
            <a:r>
              <a:rPr lang="en-US"/>
              <a:t>) 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5"/>
          <c:order val="0"/>
          <c:tx>
            <c:strRef>
              <c:f>'Elec Sply by Project'!$G$14</c:f>
              <c:strCache>
                <c:ptCount val="1"/>
                <c:pt idx="0">
                  <c:v>RPS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Project'!$H$14:$I$14</c:f>
              <c:numCache>
                <c:formatCode>"$"#,##0.0000_);\("$"#,##0.0000\)</c:formatCode>
                <c:ptCount val="2"/>
                <c:pt idx="0">
                  <c:v>1.1587677034250119E-2</c:v>
                </c:pt>
                <c:pt idx="1">
                  <c:v>1.307542758345541E-2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1-4124-8E69-EC07BED3D352}"/>
            </c:ext>
          </c:extLst>
        </c:ser>
        <c:ser>
          <c:idx val="4"/>
          <c:order val="1"/>
          <c:tx>
            <c:strRef>
              <c:f>'Elec Sply by Project'!$G$13</c:f>
              <c:strCache>
                <c:ptCount val="1"/>
                <c:pt idx="0">
                  <c:v>T&amp;D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Project'!$H$13:$I$13</c:f>
              <c:numCache>
                <c:formatCode>"$"#,##0.0000_);\("$"#,##0.0000\)</c:formatCode>
                <c:ptCount val="2"/>
                <c:pt idx="0">
                  <c:v>3.4407867328277802E-2</c:v>
                </c:pt>
                <c:pt idx="1">
                  <c:v>3.4072154068543158E-2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D1-4124-8E69-EC07BED3D352}"/>
            </c:ext>
          </c:extLst>
        </c:ser>
        <c:ser>
          <c:idx val="3"/>
          <c:order val="2"/>
          <c:tx>
            <c:strRef>
              <c:f>'Elec Sply by Project'!$G$12</c:f>
              <c:strCache>
                <c:ptCount val="1"/>
                <c:pt idx="0">
                  <c:v>Capacity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Project'!$H$12:$I$12</c:f>
              <c:numCache>
                <c:formatCode>"$"#,##0.0000_);\("$"#,##0.0000\)</c:formatCode>
                <c:ptCount val="2"/>
                <c:pt idx="0">
                  <c:v>0</c:v>
                </c:pt>
                <c:pt idx="1">
                  <c:v>3.4301796733150584E-2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D1-4124-8E69-EC07BED3D352}"/>
            </c:ext>
          </c:extLst>
        </c:ser>
        <c:ser>
          <c:idx val="2"/>
          <c:order val="3"/>
          <c:tx>
            <c:strRef>
              <c:f>'Elec Sply by Project'!$G$11</c:f>
              <c:strCache>
                <c:ptCount val="1"/>
                <c:pt idx="0">
                  <c:v>A/S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Project'!$H$11:$I$11</c:f>
              <c:numCache>
                <c:formatCode>"$"#,##0.0000_);\("$"#,##0.0000\)</c:formatCode>
                <c:ptCount val="2"/>
                <c:pt idx="0">
                  <c:v>4.6114110977325221E-4</c:v>
                </c:pt>
                <c:pt idx="1">
                  <c:v>7.2352914099407361E-4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D1-4124-8E69-EC07BED3D352}"/>
            </c:ext>
          </c:extLst>
        </c:ser>
        <c:ser>
          <c:idx val="1"/>
          <c:order val="4"/>
          <c:tx>
            <c:strRef>
              <c:f>'Elec Sply by Project'!$G$10</c:f>
              <c:strCache>
                <c:ptCount val="1"/>
                <c:pt idx="0">
                  <c:v>Losses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Project'!$H$10:$I$10</c:f>
              <c:numCache>
                <c:formatCode>"$"#,##0.0000_);\("$"#,##0.0000\)</c:formatCode>
                <c:ptCount val="2"/>
                <c:pt idx="0">
                  <c:v>3.2020476248166528E-3</c:v>
                </c:pt>
                <c:pt idx="1">
                  <c:v>5.2843721300075081E-3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D1-4124-8E69-EC07BED3D352}"/>
            </c:ext>
          </c:extLst>
        </c:ser>
        <c:ser>
          <c:idx val="0"/>
          <c:order val="5"/>
          <c:tx>
            <c:strRef>
              <c:f>'Elec Sply by Project'!$G$9</c:f>
              <c:strCache>
                <c:ptCount val="1"/>
                <c:pt idx="0">
                  <c:v>Energy Cost</c:v>
                </c:pt>
              </c:strCache>
            </c:strRef>
          </c:tx>
          <c:invertIfNegative val="0"/>
          <c:cat>
            <c:strRef>
              <c:f>'Elec Sply by Project'!$H$8:$I$8</c:f>
              <c:strCache>
                <c:ptCount val="2"/>
                <c:pt idx="0">
                  <c:v>Program Case</c:v>
                </c:pt>
                <c:pt idx="1">
                  <c:v>Reference Case</c:v>
                </c:pt>
              </c:strCache>
            </c:strRef>
          </c:cat>
          <c:val>
            <c:numRef>
              <c:f>'Elec Sply by Project'!$H$9:$I$9</c:f>
              <c:numCache>
                <c:formatCode>"$"#,##0.0000_);\("$"#,##0.0000\)</c:formatCode>
                <c:ptCount val="2"/>
                <c:pt idx="0">
                  <c:v>4.6114110977325214E-2</c:v>
                </c:pt>
                <c:pt idx="1">
                  <c:v>7.2352914099407556E-2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D1-4124-8E69-EC07BED3D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869376"/>
        <c:axId val="182871168"/>
      </c:barChart>
      <c:catAx>
        <c:axId val="182869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82871168"/>
        <c:crosses val="autoZero"/>
        <c:auto val="1"/>
        <c:lblAlgn val="ctr"/>
        <c:lblOffset val="100"/>
        <c:noMultiLvlLbl val="0"/>
      </c:catAx>
      <c:valAx>
        <c:axId val="182871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Levelized $/kWh ($2017)</a:t>
                </a:r>
              </a:p>
            </c:rich>
          </c:tx>
          <c:overlay val="0"/>
        </c:title>
        <c:numFmt formatCode="&quot;$&quot;#,##0.0000_);\(&quot;$&quot;#,##0.0000\)" sourceLinked="1"/>
        <c:majorTickMark val="out"/>
        <c:minorTickMark val="none"/>
        <c:tickLblPos val="nextTo"/>
        <c:crossAx val="182869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1295400</xdr:colOff>
      <xdr:row>5</xdr:row>
      <xdr:rowOff>104775</xdr:rowOff>
    </xdr:from>
    <xdr:to>
      <xdr:col>2</xdr:col>
      <xdr:colOff>142875</xdr:colOff>
      <xdr:row>7</xdr:row>
      <xdr:rowOff>38100</xdr:rowOff>
    </xdr:to>
    <xdr:sp macro="" textlink="">
      <xdr:nvSpPr>
        <xdr:cNvPr id="29" name="TextBox 28"/>
        <xdr:cNvSpPr txBox="1"/>
      </xdr:nvSpPr>
      <xdr:spPr>
        <a:xfrm>
          <a:off x="15449550" y="9391650"/>
          <a:ext cx="17240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Petroleum</a:t>
          </a:r>
          <a:r>
            <a:rPr lang="en-US" sz="1400" b="1" baseline="0">
              <a:solidFill>
                <a:sysClr val="windowText" lastClr="000000"/>
              </a:solidFill>
            </a:rPr>
            <a:t> Vehicles: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4</xdr:col>
      <xdr:colOff>219076</xdr:colOff>
      <xdr:row>4</xdr:row>
      <xdr:rowOff>177165</xdr:rowOff>
    </xdr:to>
    <xdr:sp macro="" textlink="">
      <xdr:nvSpPr>
        <xdr:cNvPr id="21" name="Chevron 20"/>
        <xdr:cNvSpPr/>
      </xdr:nvSpPr>
      <xdr:spPr>
        <a:xfrm>
          <a:off x="18316575" y="9029700"/>
          <a:ext cx="2638426" cy="548640"/>
        </a:xfrm>
        <a:prstGeom prst="chevron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tx1"/>
              </a:solidFill>
            </a:rPr>
            <a:t>Battery</a:t>
          </a:r>
          <a:r>
            <a:rPr lang="en-US" sz="1800" b="1" baseline="0">
              <a:solidFill>
                <a:schemeClr val="tx1"/>
              </a:solidFill>
            </a:rPr>
            <a:t>-to-Wheels</a:t>
          </a:r>
          <a:endParaRPr lang="en-US" sz="1800" b="1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0</xdr:colOff>
      <xdr:row>5</xdr:row>
      <xdr:rowOff>9525</xdr:rowOff>
    </xdr:from>
    <xdr:to>
      <xdr:col>4</xdr:col>
      <xdr:colOff>238126</xdr:colOff>
      <xdr:row>7</xdr:row>
      <xdr:rowOff>177165</xdr:rowOff>
    </xdr:to>
    <xdr:sp macro="" textlink="">
      <xdr:nvSpPr>
        <xdr:cNvPr id="23" name="Chevron 22"/>
        <xdr:cNvSpPr/>
      </xdr:nvSpPr>
      <xdr:spPr>
        <a:xfrm>
          <a:off x="18316575" y="9601200"/>
          <a:ext cx="2657476" cy="548640"/>
        </a:xfrm>
        <a:prstGeom prst="chevron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tx1"/>
              </a:solidFill>
            </a:rPr>
            <a:t>Tank</a:t>
          </a:r>
          <a:r>
            <a:rPr lang="en-US" sz="1800" b="1" baseline="0">
              <a:solidFill>
                <a:schemeClr val="tx1"/>
              </a:solidFill>
            </a:rPr>
            <a:t>-to-Wheels</a:t>
          </a:r>
          <a:endParaRPr lang="en-US" sz="1800" b="1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76200</xdr:colOff>
      <xdr:row>2</xdr:row>
      <xdr:rowOff>9525</xdr:rowOff>
    </xdr:from>
    <xdr:to>
      <xdr:col>3</xdr:col>
      <xdr:colOff>161925</xdr:colOff>
      <xdr:row>4</xdr:row>
      <xdr:rowOff>177165</xdr:rowOff>
    </xdr:to>
    <xdr:sp macro="" textlink="">
      <xdr:nvSpPr>
        <xdr:cNvPr id="25" name="Pentagon 24"/>
        <xdr:cNvSpPr/>
      </xdr:nvSpPr>
      <xdr:spPr>
        <a:xfrm>
          <a:off x="17106900" y="8724900"/>
          <a:ext cx="1371600" cy="548640"/>
        </a:xfrm>
        <a:prstGeom prst="homePlat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  <a:effectLst/>
            </a:rPr>
            <a:t>Generator-to-Battery</a:t>
          </a:r>
        </a:p>
      </xdr:txBody>
    </xdr:sp>
    <xdr:clientData/>
  </xdr:twoCellAnchor>
  <xdr:twoCellAnchor>
    <xdr:from>
      <xdr:col>2</xdr:col>
      <xdr:colOff>76200</xdr:colOff>
      <xdr:row>5</xdr:row>
      <xdr:rowOff>9525</xdr:rowOff>
    </xdr:from>
    <xdr:to>
      <xdr:col>3</xdr:col>
      <xdr:colOff>161925</xdr:colOff>
      <xdr:row>7</xdr:row>
      <xdr:rowOff>177165</xdr:rowOff>
    </xdr:to>
    <xdr:sp macro="" textlink="">
      <xdr:nvSpPr>
        <xdr:cNvPr id="26" name="Pentagon 25"/>
        <xdr:cNvSpPr/>
      </xdr:nvSpPr>
      <xdr:spPr>
        <a:xfrm>
          <a:off x="17106900" y="9296400"/>
          <a:ext cx="1371600" cy="548640"/>
        </a:xfrm>
        <a:prstGeom prst="homePlat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Pump-</a:t>
          </a:r>
          <a:endParaRPr lang="en-US" sz="1400">
            <a:solidFill>
              <a:sysClr val="windowText" lastClr="000000"/>
            </a:solidFill>
            <a:effectLst/>
          </a:endParaRPr>
        </a:p>
        <a:p>
          <a:pPr algn="ctr"/>
          <a:r>
            <a:rPr 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to-Tank</a:t>
          </a:r>
          <a:endParaRPr lang="en-US" sz="14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</xdr:col>
      <xdr:colOff>171450</xdr:colOff>
      <xdr:row>2</xdr:row>
      <xdr:rowOff>38100</xdr:rowOff>
    </xdr:from>
    <xdr:to>
      <xdr:col>4</xdr:col>
      <xdr:colOff>476250</xdr:colOff>
      <xdr:row>7</xdr:row>
      <xdr:rowOff>190500</xdr:rowOff>
    </xdr:to>
    <xdr:sp macro="" textlink="">
      <xdr:nvSpPr>
        <xdr:cNvPr id="4" name="Right Brace 3"/>
        <xdr:cNvSpPr/>
      </xdr:nvSpPr>
      <xdr:spPr>
        <a:xfrm>
          <a:off x="20907375" y="8753475"/>
          <a:ext cx="304800" cy="11049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466725</xdr:colOff>
      <xdr:row>3</xdr:row>
      <xdr:rowOff>133349</xdr:rowOff>
    </xdr:from>
    <xdr:to>
      <xdr:col>5</xdr:col>
      <xdr:colOff>0</xdr:colOff>
      <xdr:row>6</xdr:row>
      <xdr:rowOff>161925</xdr:rowOff>
    </xdr:to>
    <xdr:sp macro="" textlink="">
      <xdr:nvSpPr>
        <xdr:cNvPr id="5" name="TextBox 4"/>
        <xdr:cNvSpPr txBox="1"/>
      </xdr:nvSpPr>
      <xdr:spPr>
        <a:xfrm>
          <a:off x="21202650" y="9039224"/>
          <a:ext cx="1019175" cy="600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E3's GHG Analysis</a:t>
          </a:r>
        </a:p>
      </xdr:txBody>
    </xdr:sp>
    <xdr:clientData/>
  </xdr:twoCellAnchor>
  <xdr:twoCellAnchor>
    <xdr:from>
      <xdr:col>1</xdr:col>
      <xdr:colOff>0</xdr:colOff>
      <xdr:row>2</xdr:row>
      <xdr:rowOff>180975</xdr:rowOff>
    </xdr:from>
    <xdr:to>
      <xdr:col>1</xdr:col>
      <xdr:colOff>1762125</xdr:colOff>
      <xdr:row>4</xdr:row>
      <xdr:rowOff>114300</xdr:rowOff>
    </xdr:to>
    <xdr:sp macro="" textlink="">
      <xdr:nvSpPr>
        <xdr:cNvPr id="28" name="TextBox 27"/>
        <xdr:cNvSpPr txBox="1"/>
      </xdr:nvSpPr>
      <xdr:spPr>
        <a:xfrm>
          <a:off x="609600" y="6981825"/>
          <a:ext cx="17621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</a:rPr>
            <a:t>Electric</a:t>
          </a:r>
          <a:r>
            <a:rPr lang="en-US" sz="1400" b="1" baseline="0">
              <a:solidFill>
                <a:sysClr val="windowText" lastClr="000000"/>
              </a:solidFill>
            </a:rPr>
            <a:t> Vehicles:</a:t>
          </a:r>
          <a:endParaRPr 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12</xdr:col>
      <xdr:colOff>331694</xdr:colOff>
      <xdr:row>26</xdr:row>
      <xdr:rowOff>88569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CC2CC-73B2-4F3B-B0DC-69E06807B7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</xdr:row>
      <xdr:rowOff>0</xdr:rowOff>
    </xdr:from>
    <xdr:to>
      <xdr:col>26</xdr:col>
      <xdr:colOff>410135</xdr:colOff>
      <xdr:row>26</xdr:row>
      <xdr:rowOff>180975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BC1508C2-AE1B-47B1-BB6F-226AC38DA063}"/>
            </a:ext>
          </a:extLst>
        </xdr:cNvPr>
        <xdr:cNvGrpSpPr/>
      </xdr:nvGrpSpPr>
      <xdr:grpSpPr>
        <a:xfrm>
          <a:off x="9144000" y="571500"/>
          <a:ext cx="7115735" cy="4562475"/>
          <a:chOff x="10628039" y="4548357"/>
          <a:chExt cx="7229475" cy="3310120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D3DCC2CC-73B2-4F3B-B0DC-69E06807B7C0}"/>
              </a:ext>
            </a:extLst>
          </xdr:cNvPr>
          <xdr:cNvGraphicFramePr/>
        </xdr:nvGraphicFramePr>
        <xdr:xfrm>
          <a:off x="10628039" y="4548357"/>
          <a:ext cx="7229475" cy="327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7E28145F-DE68-4F29-B952-F71E3F8014F8}"/>
              </a:ext>
            </a:extLst>
          </xdr:cNvPr>
          <xdr:cNvSpPr txBox="1"/>
        </xdr:nvSpPr>
        <xdr:spPr>
          <a:xfrm>
            <a:off x="11119652" y="7363189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Participant Cost Test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32439383-B937-4D81-9652-DE289850CF16}"/>
              </a:ext>
            </a:extLst>
          </xdr:cNvPr>
          <xdr:cNvSpPr txBox="1"/>
        </xdr:nvSpPr>
        <xdr:spPr>
          <a:xfrm>
            <a:off x="12385418" y="7363189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Ratepayer Impact Measure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1BF95B2D-477A-4B1F-B464-C2E28076F72E}"/>
              </a:ext>
            </a:extLst>
          </xdr:cNvPr>
          <xdr:cNvSpPr txBox="1"/>
        </xdr:nvSpPr>
        <xdr:spPr>
          <a:xfrm>
            <a:off x="13648009" y="7372715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Total Resource Cost Test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490C65C-8735-468A-8A2E-7794B3596C27}"/>
              </a:ext>
            </a:extLst>
          </xdr:cNvPr>
          <xdr:cNvSpPr txBox="1"/>
        </xdr:nvSpPr>
        <xdr:spPr>
          <a:xfrm>
            <a:off x="14902104" y="7391276"/>
            <a:ext cx="1152525" cy="4672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000" b="1"/>
              <a:t>Societal Cost Test</a:t>
            </a:r>
          </a:p>
        </xdr:txBody>
      </xdr:sp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0.05977</cdr:x>
      <cdr:y>0.86701</cdr:y>
    </cdr:from>
    <cdr:to>
      <cdr:x>0.22943</cdr:x>
      <cdr:y>0.98305</cdr:y>
    </cdr:to>
    <cdr:sp macro="" textlink="">
      <cdr:nvSpPr>
        <cdr:cNvPr id="2" name="TextBox 43">
          <a:extLst xmlns:a="http://schemas.openxmlformats.org/drawingml/2006/main">
            <a:ext uri="{FF2B5EF4-FFF2-40B4-BE49-F238E27FC236}">
              <a16:creationId xmlns:a16="http://schemas.microsoft.com/office/drawing/2014/main" id="{C15DA2D5-4A4C-4C65-A0DD-D622A1D735CD}"/>
            </a:ext>
          </a:extLst>
        </cdr:cNvPr>
        <cdr:cNvSpPr txBox="1"/>
      </cdr:nvSpPr>
      <cdr:spPr>
        <a:xfrm xmlns:a="http://schemas.openxmlformats.org/drawingml/2006/main">
          <a:off x="420596" y="3759947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Participant Cost Test</a:t>
          </a:r>
        </a:p>
      </cdr:txBody>
    </cdr:sp>
  </cdr:relSizeAnchor>
  <cdr:relSizeAnchor xmlns:cdr="http://schemas.openxmlformats.org/drawingml/2006/chartDrawing">
    <cdr:from>
      <cdr:x>0.23397</cdr:x>
      <cdr:y>0.85926</cdr:y>
    </cdr:from>
    <cdr:to>
      <cdr:x>0.40363</cdr:x>
      <cdr:y>0.9753</cdr:y>
    </cdr:to>
    <cdr:sp macro="" textlink="">
      <cdr:nvSpPr>
        <cdr:cNvPr id="3" name="TextBox 46">
          <a:extLst xmlns:a="http://schemas.openxmlformats.org/drawingml/2006/main">
            <a:ext uri="{FF2B5EF4-FFF2-40B4-BE49-F238E27FC236}">
              <a16:creationId xmlns:a16="http://schemas.microsoft.com/office/drawing/2014/main" id="{6A7AAF0C-4C65-4303-8A53-5F0881F57AEC}"/>
            </a:ext>
          </a:extLst>
        </cdr:cNvPr>
        <cdr:cNvSpPr txBox="1"/>
      </cdr:nvSpPr>
      <cdr:spPr>
        <a:xfrm xmlns:a="http://schemas.openxmlformats.org/drawingml/2006/main">
          <a:off x="1646504" y="3726331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Ratepayer Impact Measure</a:t>
          </a:r>
        </a:p>
      </cdr:txBody>
    </cdr:sp>
  </cdr:relSizeAnchor>
  <cdr:relSizeAnchor xmlns:cdr="http://schemas.openxmlformats.org/drawingml/2006/chartDrawing">
    <cdr:from>
      <cdr:x>0.41052</cdr:x>
      <cdr:y>0.86426</cdr:y>
    </cdr:from>
    <cdr:to>
      <cdr:x>0.58019</cdr:x>
      <cdr:y>0.9803</cdr:y>
    </cdr:to>
    <cdr:sp macro="" textlink="">
      <cdr:nvSpPr>
        <cdr:cNvPr id="4" name="TextBox 50">
          <a:extLst xmlns:a="http://schemas.openxmlformats.org/drawingml/2006/main">
            <a:ext uri="{FF2B5EF4-FFF2-40B4-BE49-F238E27FC236}">
              <a16:creationId xmlns:a16="http://schemas.microsoft.com/office/drawing/2014/main" id="{E0502022-1E7D-4415-BAF9-7A7920993A12}"/>
            </a:ext>
          </a:extLst>
        </cdr:cNvPr>
        <cdr:cNvSpPr txBox="1"/>
      </cdr:nvSpPr>
      <cdr:spPr>
        <a:xfrm xmlns:a="http://schemas.openxmlformats.org/drawingml/2006/main">
          <a:off x="2888973" y="3748020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Total Resource Cost Test</a:t>
          </a:r>
        </a:p>
      </cdr:txBody>
    </cdr:sp>
  </cdr:relSizeAnchor>
  <cdr:relSizeAnchor xmlns:cdr="http://schemas.openxmlformats.org/drawingml/2006/chartDrawing">
    <cdr:from>
      <cdr:x>0.58408</cdr:x>
      <cdr:y>0.86685</cdr:y>
    </cdr:from>
    <cdr:to>
      <cdr:x>0.75375</cdr:x>
      <cdr:y>0.98288</cdr:y>
    </cdr:to>
    <cdr:sp macro="" textlink="">
      <cdr:nvSpPr>
        <cdr:cNvPr id="5" name="TextBox 51">
          <a:extLst xmlns:a="http://schemas.openxmlformats.org/drawingml/2006/main">
            <a:ext uri="{FF2B5EF4-FFF2-40B4-BE49-F238E27FC236}">
              <a16:creationId xmlns:a16="http://schemas.microsoft.com/office/drawing/2014/main" id="{E1D49ABF-B84A-4849-9F15-B97E9ADC625F}"/>
            </a:ext>
          </a:extLst>
        </cdr:cNvPr>
        <cdr:cNvSpPr txBox="1"/>
      </cdr:nvSpPr>
      <cdr:spPr>
        <a:xfrm xmlns:a="http://schemas.openxmlformats.org/drawingml/2006/main">
          <a:off x="4110367" y="3759226"/>
          <a:ext cx="1193971" cy="5032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Societal Cost Test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18</xdr:row>
      <xdr:rowOff>42862</xdr:rowOff>
    </xdr:from>
    <xdr:to>
      <xdr:col>11</xdr:col>
      <xdr:colOff>95250</xdr:colOff>
      <xdr:row>35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martin\OneDrive%20-%20Sempra%20Energy\b%20-%20Projects\VGI%202.0\Testimony\Workpapers\Final%20Workpapers\Priority%20Projects%20Results%20(Final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martin\OneDrive%20-%20Sempra%20Energy\b%20-%20Projects\VGI%202.0\Testimony\Workpapers\Final%20Workpapers\Res%20Results%20Scenario%20A%20(F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martin\OneDrive%20-%20Sempra%20Energy\b%20-%20Projects\VGI%202.0\Testimony\Workpapers\Final%20Workpapers\E3%20SB350%20TE%20GIR%20Inputs(Final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martin\OneDrive%20-%20Sempra%20Energy\b%20-%20Projects\VGI%202.0\Testimony\Workpapers\Final%20Workpapers\Res%20Results%20Scenario%20B%20(F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 Summary"/>
      <sheetName val="Additional Information"/>
    </sheetNames>
    <sheetDataSet>
      <sheetData sheetId="0"/>
      <sheetData sheetId="1">
        <row r="17">
          <cell r="J17">
            <v>202850.01781261101</v>
          </cell>
          <cell r="AJ17">
            <v>3213858.4729235205</v>
          </cell>
        </row>
        <row r="18">
          <cell r="J18">
            <v>931.618724563706</v>
          </cell>
          <cell r="AJ18">
            <v>14905.8995930193</v>
          </cell>
        </row>
        <row r="19">
          <cell r="J19">
            <v>1825.6501603135</v>
          </cell>
          <cell r="AJ19">
            <v>28924.726256311667</v>
          </cell>
        </row>
        <row r="21">
          <cell r="J21">
            <v>2946126.3157894602</v>
          </cell>
          <cell r="AJ21">
            <v>47138021.052631371</v>
          </cell>
        </row>
        <row r="22">
          <cell r="J22">
            <v>0.81076860906514703</v>
          </cell>
          <cell r="AJ22">
            <v>12.82723766384472</v>
          </cell>
        </row>
        <row r="25">
          <cell r="J25">
            <v>2.4112880818935299E-3</v>
          </cell>
          <cell r="AJ25">
            <v>2.0011649244515945E-2</v>
          </cell>
        </row>
        <row r="31">
          <cell r="J31">
            <v>37888.609273319998</v>
          </cell>
          <cell r="AJ31">
            <v>681994.96691975975</v>
          </cell>
        </row>
        <row r="32">
          <cell r="J32">
            <v>113.08147266646699</v>
          </cell>
          <cell r="AJ32">
            <v>2035.4665079964066</v>
          </cell>
        </row>
        <row r="33">
          <cell r="J33">
            <v>340.99748345987899</v>
          </cell>
          <cell r="AJ33">
            <v>6137.9547022778206</v>
          </cell>
        </row>
        <row r="35">
          <cell r="J35">
            <v>343662.71105263499</v>
          </cell>
          <cell r="AJ35">
            <v>6185928.7989474274</v>
          </cell>
        </row>
        <row r="36">
          <cell r="J36">
            <v>0.99751494992773904</v>
          </cell>
          <cell r="AJ36">
            <v>17.955269098699304</v>
          </cell>
        </row>
        <row r="39">
          <cell r="J39">
            <v>0.48980758566524801</v>
          </cell>
          <cell r="AJ39">
            <v>8.8165365419744628</v>
          </cell>
        </row>
        <row r="45">
          <cell r="J45">
            <v>280955.09999999998</v>
          </cell>
          <cell r="AJ45">
            <v>6010053.5000000028</v>
          </cell>
        </row>
        <row r="46">
          <cell r="J46">
            <v>1354.44831665367</v>
          </cell>
          <cell r="AJ46">
            <v>28960.789197537684</v>
          </cell>
        </row>
        <row r="47">
          <cell r="J47">
            <v>2528.5958999999998</v>
          </cell>
          <cell r="AJ47">
            <v>54090.481500000016</v>
          </cell>
        </row>
        <row r="49">
          <cell r="J49">
            <v>4164381.0526315798</v>
          </cell>
          <cell r="AJ49">
            <v>89087086.842105299</v>
          </cell>
        </row>
        <row r="50">
          <cell r="J50">
            <v>7.3324857274534896</v>
          </cell>
          <cell r="AJ50">
            <v>156.8545469828677</v>
          </cell>
        </row>
        <row r="53">
          <cell r="J53">
            <v>3.5676873874534398</v>
          </cell>
          <cell r="AJ53">
            <v>76.319830082866645</v>
          </cell>
        </row>
        <row r="59">
          <cell r="J59">
            <v>22751.320327405123</v>
          </cell>
          <cell r="AJ59">
            <v>406323.27434876357</v>
          </cell>
        </row>
        <row r="60">
          <cell r="J60">
            <v>49.712879725141178</v>
          </cell>
          <cell r="AJ60">
            <v>994.25759450282374</v>
          </cell>
        </row>
        <row r="61">
          <cell r="J61">
            <v>204.76188294664581</v>
          </cell>
          <cell r="AJ61">
            <v>3656.9094691388709</v>
          </cell>
        </row>
        <row r="63">
          <cell r="J63">
            <v>211368.4210526305</v>
          </cell>
          <cell r="AJ63">
            <v>4227368.4210526096</v>
          </cell>
        </row>
        <row r="64">
          <cell r="J64">
            <v>1.1088395079428532E-2</v>
          </cell>
          <cell r="AJ64">
            <v>0.18475103693773154</v>
          </cell>
        </row>
        <row r="67">
          <cell r="J67">
            <v>2.4127192504925801E-2</v>
          </cell>
          <cell r="AJ67">
            <v>0.41761518667749919</v>
          </cell>
        </row>
        <row r="73">
          <cell r="J73">
            <v>114425.4132016631</v>
          </cell>
          <cell r="AJ73">
            <v>1911763.3277791345</v>
          </cell>
        </row>
        <row r="74">
          <cell r="J74">
            <v>261.13342767651528</v>
          </cell>
          <cell r="AJ74">
            <v>5173.9901819945899</v>
          </cell>
        </row>
        <row r="75">
          <cell r="J75">
            <v>1029.8287188149679</v>
          </cell>
          <cell r="AJ75">
            <v>17205.869950012213</v>
          </cell>
        </row>
        <row r="77">
          <cell r="J77">
            <v>996238.68421051512</v>
          </cell>
          <cell r="AJ77">
            <v>19711690.526315559</v>
          </cell>
        </row>
        <row r="78">
          <cell r="J78">
            <v>0.1919536093470296</v>
          </cell>
          <cell r="AJ78">
            <v>3.0488598623864149</v>
          </cell>
        </row>
        <row r="81">
          <cell r="J81">
            <v>0.13925246589588622</v>
          </cell>
          <cell r="AJ81">
            <v>2.3048437195467448</v>
          </cell>
        </row>
        <row r="87">
          <cell r="J87">
            <v>466833.049610894</v>
          </cell>
          <cell r="AJ87">
            <v>8337324.1887694867</v>
          </cell>
        </row>
        <row r="88">
          <cell r="J88">
            <v>1684.49168337583</v>
          </cell>
          <cell r="AJ88">
            <v>33689.833667516592</v>
          </cell>
        </row>
        <row r="89">
          <cell r="J89">
            <v>4201.4974464980496</v>
          </cell>
          <cell r="AJ89">
            <v>75035.91769892539</v>
          </cell>
        </row>
        <row r="91">
          <cell r="J91">
            <v>5374064.2105263304</v>
          </cell>
          <cell r="AJ91">
            <v>107481284.21052663</v>
          </cell>
        </row>
        <row r="92">
          <cell r="J92">
            <v>0.32699633132224998</v>
          </cell>
          <cell r="AJ92">
            <v>5.3899514380280173</v>
          </cell>
        </row>
        <row r="95">
          <cell r="J95">
            <v>0.69628739224150804</v>
          </cell>
          <cell r="AJ95">
            <v>11.985241333344446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NPVResults"/>
      <sheetName val="Marginal Costs"/>
      <sheetName val="Model Outputs"/>
      <sheetName val="GrossCostTestComponents"/>
      <sheetName val="RefCostTestComponents"/>
      <sheetName val="AnnualQtys"/>
      <sheetName val="AdditionalMetrics"/>
      <sheetName val="ProgramCosts"/>
      <sheetName val="DataForGraphs"/>
    </sheetNames>
    <sheetDataSet>
      <sheetData sheetId="0"/>
      <sheetData sheetId="1">
        <row r="14">
          <cell r="E14">
            <v>-78.971552020872593</v>
          </cell>
          <cell r="J14">
            <v>-37.7956214348483</v>
          </cell>
        </row>
        <row r="15">
          <cell r="E15">
            <v>-5.4835855059823002</v>
          </cell>
          <cell r="J15">
            <v>-2.76044346012405</v>
          </cell>
        </row>
        <row r="16">
          <cell r="E16">
            <v>-0.78971552020872604</v>
          </cell>
          <cell r="J16">
            <v>-0.37795621434848198</v>
          </cell>
        </row>
        <row r="17">
          <cell r="E17">
            <v>-19.844182622566802</v>
          </cell>
          <cell r="J17">
            <v>-6.8303249039018397</v>
          </cell>
        </row>
        <row r="18">
          <cell r="E18">
            <v>0</v>
          </cell>
          <cell r="J18">
            <v>-17.918528092455801</v>
          </cell>
        </row>
        <row r="19">
          <cell r="E19">
            <v>-58.924321147131501</v>
          </cell>
          <cell r="J19">
            <v>-17.798567655135098</v>
          </cell>
        </row>
      </sheetData>
      <sheetData sheetId="2"/>
      <sheetData sheetId="3"/>
      <sheetData sheetId="4"/>
      <sheetData sheetId="5"/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3246114.01255091</v>
          </cell>
          <cell r="G4">
            <v>7992473.4094923399</v>
          </cell>
          <cell r="H4">
            <v>13856621.4581453</v>
          </cell>
          <cell r="I4">
            <v>20483651.006825801</v>
          </cell>
          <cell r="J4">
            <v>27543620.539997298</v>
          </cell>
          <cell r="K4">
            <v>27543620.539997298</v>
          </cell>
          <cell r="L4">
            <v>27543620.539997298</v>
          </cell>
          <cell r="M4">
            <v>27543620.539997298</v>
          </cell>
          <cell r="N4">
            <v>27543620.539997298</v>
          </cell>
          <cell r="O4">
            <v>27543620.539997298</v>
          </cell>
          <cell r="P4">
            <v>26876348.100728299</v>
          </cell>
          <cell r="Q4">
            <v>22129988.703786802</v>
          </cell>
          <cell r="R4">
            <v>16265840.655133899</v>
          </cell>
          <cell r="S4">
            <v>9638811.1064534001</v>
          </cell>
          <cell r="T4">
            <v>2578841.5732819</v>
          </cell>
          <cell r="U4">
            <v>2578841.5732819</v>
          </cell>
          <cell r="V4">
            <v>2578841.5732819</v>
          </cell>
          <cell r="W4">
            <v>2578841.5732819</v>
          </cell>
          <cell r="X4">
            <v>2578841.5732819</v>
          </cell>
          <cell r="Y4">
            <v>2578841.5732819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10373.5275597625</v>
          </cell>
          <cell r="G5">
            <v>25933.818899406298</v>
          </cell>
          <cell r="H5">
            <v>45643.521262955197</v>
          </cell>
          <cell r="I5">
            <v>68465.281894432701</v>
          </cell>
          <cell r="J5">
            <v>93361.748037862795</v>
          </cell>
          <cell r="K5">
            <v>93361.748037862795</v>
          </cell>
          <cell r="L5">
            <v>93361.748037862795</v>
          </cell>
          <cell r="M5">
            <v>93361.748037862795</v>
          </cell>
          <cell r="N5">
            <v>93361.748037862795</v>
          </cell>
          <cell r="O5">
            <v>93361.748037862795</v>
          </cell>
          <cell r="P5">
            <v>93361.748037862795</v>
          </cell>
          <cell r="Q5">
            <v>77801.456698219103</v>
          </cell>
          <cell r="R5">
            <v>58091.7543346702</v>
          </cell>
          <cell r="S5">
            <v>35269.993703192602</v>
          </cell>
          <cell r="T5">
            <v>10373.5275597625</v>
          </cell>
          <cell r="U5">
            <v>10373.5275597625</v>
          </cell>
          <cell r="V5">
            <v>10373.5275597625</v>
          </cell>
          <cell r="W5">
            <v>10373.5275597625</v>
          </cell>
          <cell r="X5">
            <v>10373.5275597625</v>
          </cell>
          <cell r="Y5">
            <v>10373.5275597625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450774.16819920059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29215.026112958101</v>
          </cell>
          <cell r="G6">
            <v>71932.260685431102</v>
          </cell>
          <cell r="H6">
            <v>124709.593123307</v>
          </cell>
          <cell r="I6">
            <v>184352.85906143201</v>
          </cell>
          <cell r="J6">
            <v>247892.584859975</v>
          </cell>
          <cell r="K6">
            <v>247892.584859975</v>
          </cell>
          <cell r="L6">
            <v>247892.584859975</v>
          </cell>
          <cell r="M6">
            <v>247892.584859975</v>
          </cell>
          <cell r="N6">
            <v>247892.584859975</v>
          </cell>
          <cell r="O6">
            <v>247892.584859975</v>
          </cell>
          <cell r="P6">
            <v>241887.132906554</v>
          </cell>
          <cell r="Q6">
            <v>199169.89833408099</v>
          </cell>
          <cell r="R6">
            <v>146392.56589620499</v>
          </cell>
          <cell r="S6">
            <v>86749.299958080606</v>
          </cell>
          <cell r="T6">
            <v>23209.5741595371</v>
          </cell>
          <cell r="U6">
            <v>23209.5741595371</v>
          </cell>
          <cell r="V6">
            <v>23209.5741595371</v>
          </cell>
          <cell r="W6">
            <v>23209.5741595371</v>
          </cell>
          <cell r="X6">
            <v>23209.5741595371</v>
          </cell>
          <cell r="Y6">
            <v>23209.5741595371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1189568.2215831808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39409804.210526302</v>
          </cell>
          <cell r="G8">
            <v>98524510.526315704</v>
          </cell>
          <cell r="H8">
            <v>173403138.526315</v>
          </cell>
          <cell r="I8">
            <v>260104707.789473</v>
          </cell>
          <cell r="J8">
            <v>354688237.89473599</v>
          </cell>
          <cell r="K8">
            <v>354688237.89473599</v>
          </cell>
          <cell r="L8">
            <v>354688237.89473599</v>
          </cell>
          <cell r="M8">
            <v>354688237.89473599</v>
          </cell>
          <cell r="N8">
            <v>354688237.89473599</v>
          </cell>
          <cell r="O8">
            <v>354688237.89473599</v>
          </cell>
          <cell r="P8">
            <v>354688237.89473599</v>
          </cell>
          <cell r="Q8">
            <v>295573531.57894701</v>
          </cell>
          <cell r="R8">
            <v>220694903.57894701</v>
          </cell>
          <cell r="S8">
            <v>133993334.315789</v>
          </cell>
          <cell r="T8">
            <v>39409804.210526302</v>
          </cell>
          <cell r="U8">
            <v>39409804.210526302</v>
          </cell>
          <cell r="V8">
            <v>39409804.210526302</v>
          </cell>
          <cell r="W8">
            <v>39409804.210526302</v>
          </cell>
          <cell r="X8">
            <v>39409804.210526302</v>
          </cell>
          <cell r="Y8">
            <v>39409804.210526302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1712524655.6244731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2.4409287950017799</v>
          </cell>
          <cell r="G9">
            <v>5.9609979438691196</v>
          </cell>
          <cell r="H9">
            <v>10.249549725625201</v>
          </cell>
          <cell r="I9">
            <v>15.0276287787845</v>
          </cell>
          <cell r="J9">
            <v>20.0450086569112</v>
          </cell>
          <cell r="K9">
            <v>20.0450086569112</v>
          </cell>
          <cell r="L9">
            <v>20.0450086569112</v>
          </cell>
          <cell r="M9">
            <v>20.0450086569112</v>
          </cell>
          <cell r="N9">
            <v>20.0450086569112</v>
          </cell>
          <cell r="O9">
            <v>20.0450086569112</v>
          </cell>
          <cell r="P9">
            <v>19.2771526683937</v>
          </cell>
          <cell r="Q9">
            <v>15.757083519526301</v>
          </cell>
          <cell r="R9">
            <v>11.4685317377701</v>
          </cell>
          <cell r="S9">
            <v>6.6904526846108796</v>
          </cell>
          <cell r="T9">
            <v>1.67307280648423</v>
          </cell>
          <cell r="U9">
            <v>1.67307280648423</v>
          </cell>
          <cell r="V9">
            <v>1.67307280648423</v>
          </cell>
          <cell r="W9">
            <v>1.67307280648423</v>
          </cell>
          <cell r="X9">
            <v>1.67307280648423</v>
          </cell>
          <cell r="Y9">
            <v>1.67307280648423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5.0087865946133698</v>
          </cell>
          <cell r="G12">
            <v>12.283491578843099</v>
          </cell>
          <cell r="H12">
            <v>21.2109125582272</v>
          </cell>
          <cell r="I12">
            <v>31.231342757723102</v>
          </cell>
          <cell r="J12">
            <v>41.8335535323248</v>
          </cell>
          <cell r="K12">
            <v>41.8335535323248</v>
          </cell>
          <cell r="L12">
            <v>41.8335535323248</v>
          </cell>
          <cell r="M12">
            <v>41.8335535323248</v>
          </cell>
          <cell r="N12">
            <v>41.8335535323248</v>
          </cell>
          <cell r="O12">
            <v>41.8335535323248</v>
          </cell>
          <cell r="P12">
            <v>40.537847711356001</v>
          </cell>
          <cell r="Q12">
            <v>33.263142727126102</v>
          </cell>
          <cell r="R12">
            <v>24.335721747741999</v>
          </cell>
          <cell r="S12">
            <v>14.315291548246099</v>
          </cell>
          <cell r="T12">
            <v>3.7130807736445401</v>
          </cell>
          <cell r="U12">
            <v>3.7130807736445401</v>
          </cell>
          <cell r="V12">
            <v>3.7130807736445401</v>
          </cell>
          <cell r="W12">
            <v>3.7130807736445401</v>
          </cell>
          <cell r="X12">
            <v>3.7130807736445401</v>
          </cell>
          <cell r="Y12">
            <v>3.7130807736445401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885218.08520848094</v>
          </cell>
          <cell r="G19">
            <v>2093230.2279920001</v>
          </cell>
          <cell r="H19">
            <v>3966662.12472656</v>
          </cell>
          <cell r="I19">
            <v>6102262.95991721</v>
          </cell>
          <cell r="J19">
            <v>8508577.9310677797</v>
          </cell>
          <cell r="K19">
            <v>8508577.9310677797</v>
          </cell>
          <cell r="L19">
            <v>8508577.9310677797</v>
          </cell>
          <cell r="M19">
            <v>8508577.9310677797</v>
          </cell>
          <cell r="N19">
            <v>8508577.9310677797</v>
          </cell>
          <cell r="O19">
            <v>8508577.9310677797</v>
          </cell>
          <cell r="P19">
            <v>8326445.8249170603</v>
          </cell>
          <cell r="Q19">
            <v>7118433.6821335303</v>
          </cell>
          <cell r="R19">
            <v>5245001.7853989704</v>
          </cell>
          <cell r="S19">
            <v>3109400.9502083301</v>
          </cell>
          <cell r="T19">
            <v>703085.979057758</v>
          </cell>
          <cell r="U19">
            <v>703085.979057758</v>
          </cell>
          <cell r="V19">
            <v>703085.979057758</v>
          </cell>
          <cell r="W19">
            <v>703085.979057758</v>
          </cell>
          <cell r="X19">
            <v>703085.979057758</v>
          </cell>
          <cell r="Y19">
            <v>703085.979057758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4427.1233035721498</v>
          </cell>
          <cell r="G20">
            <v>10625.095928573101</v>
          </cell>
          <cell r="H20">
            <v>20479.998103853799</v>
          </cell>
          <cell r="I20">
            <v>31990.518693141399</v>
          </cell>
          <cell r="J20">
            <v>45271.8886038579</v>
          </cell>
          <cell r="K20">
            <v>45271.8886038579</v>
          </cell>
          <cell r="L20">
            <v>45271.8886038579</v>
          </cell>
          <cell r="M20">
            <v>45271.8886038579</v>
          </cell>
          <cell r="N20">
            <v>45271.8886038579</v>
          </cell>
          <cell r="O20">
            <v>45271.8886038579</v>
          </cell>
          <cell r="P20">
            <v>45271.8886038579</v>
          </cell>
          <cell r="Q20">
            <v>39073.915978856901</v>
          </cell>
          <cell r="R20">
            <v>29219.013803576199</v>
          </cell>
          <cell r="S20">
            <v>17708.493214288599</v>
          </cell>
          <cell r="T20">
            <v>4427.1233035721498</v>
          </cell>
          <cell r="U20">
            <v>4427.1233035721498</v>
          </cell>
          <cell r="V20">
            <v>4427.1233035721498</v>
          </cell>
          <cell r="W20">
            <v>4427.1233035721498</v>
          </cell>
          <cell r="X20">
            <v>4427.1233035721498</v>
          </cell>
          <cell r="Y20">
            <v>4427.1233035721498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215166.92688035787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7966.9627668763296</v>
          </cell>
          <cell r="G21">
            <v>18839.072051928</v>
          </cell>
          <cell r="H21">
            <v>35699.959122539098</v>
          </cell>
          <cell r="I21">
            <v>54920.366639254898</v>
          </cell>
          <cell r="J21">
            <v>76577.201379609993</v>
          </cell>
          <cell r="K21">
            <v>76577.201379609993</v>
          </cell>
          <cell r="L21">
            <v>76577.201379609993</v>
          </cell>
          <cell r="M21">
            <v>76577.201379609993</v>
          </cell>
          <cell r="N21">
            <v>76577.201379609993</v>
          </cell>
          <cell r="O21">
            <v>76577.201379609993</v>
          </cell>
          <cell r="P21">
            <v>74938.012424253495</v>
          </cell>
          <cell r="Q21">
            <v>64065.903139201801</v>
          </cell>
          <cell r="R21">
            <v>47205.016068590703</v>
          </cell>
          <cell r="S21">
            <v>27984.608551874899</v>
          </cell>
          <cell r="T21">
            <v>6327.7738115198199</v>
          </cell>
          <cell r="U21">
            <v>6327.7738115198199</v>
          </cell>
          <cell r="V21">
            <v>6327.7738115198199</v>
          </cell>
          <cell r="W21">
            <v>6327.7738115198199</v>
          </cell>
          <cell r="X21">
            <v>6327.7738115198199</v>
          </cell>
          <cell r="Y21">
            <v>6327.7738115198199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362098.53768558212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10748128.421052599</v>
          </cell>
          <cell r="G23">
            <v>25795508.210526399</v>
          </cell>
          <cell r="H23">
            <v>49720815.757894099</v>
          </cell>
          <cell r="I23">
            <v>77665949.652630895</v>
          </cell>
          <cell r="J23">
            <v>109910334.91578799</v>
          </cell>
          <cell r="K23">
            <v>109910334.91578799</v>
          </cell>
          <cell r="L23">
            <v>109910334.91578799</v>
          </cell>
          <cell r="M23">
            <v>109910334.91578799</v>
          </cell>
          <cell r="N23">
            <v>109910334.91578799</v>
          </cell>
          <cell r="O23">
            <v>109910334.91578799</v>
          </cell>
          <cell r="P23">
            <v>109910334.91578799</v>
          </cell>
          <cell r="Q23">
            <v>94862955.126315504</v>
          </cell>
          <cell r="R23">
            <v>70937647.578948095</v>
          </cell>
          <cell r="S23">
            <v>42992513.684210502</v>
          </cell>
          <cell r="T23">
            <v>10748128.421052599</v>
          </cell>
          <cell r="U23">
            <v>10748128.421052599</v>
          </cell>
          <cell r="V23">
            <v>10748128.421052599</v>
          </cell>
          <cell r="W23">
            <v>10748128.421052599</v>
          </cell>
          <cell r="X23">
            <v>10748128.421052599</v>
          </cell>
          <cell r="Y23">
            <v>10748128.421052599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522378703.12894255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0.46622971752285602</v>
          </cell>
          <cell r="G24">
            <v>1.08294106362429</v>
          </cell>
          <cell r="H24">
            <v>2.0089930245029599</v>
          </cell>
          <cell r="I24">
            <v>3.03020663393995</v>
          </cell>
          <cell r="J24">
            <v>4.1419715086731301</v>
          </cell>
          <cell r="K24">
            <v>4.1419715086731301</v>
          </cell>
          <cell r="L24">
            <v>4.1419715086731301</v>
          </cell>
          <cell r="M24">
            <v>4.1419715086731301</v>
          </cell>
          <cell r="N24">
            <v>4.1419715086731301</v>
          </cell>
          <cell r="O24">
            <v>4.1419715086731301</v>
          </cell>
          <cell r="P24">
            <v>3.9323851086078898</v>
          </cell>
          <cell r="Q24">
            <v>3.3156737625064601</v>
          </cell>
          <cell r="R24">
            <v>2.3896218016277802</v>
          </cell>
          <cell r="S24">
            <v>1.36840819219079</v>
          </cell>
          <cell r="T24">
            <v>0.25664331745760899</v>
          </cell>
          <cell r="U24">
            <v>0.25664331745760899</v>
          </cell>
          <cell r="V24">
            <v>0.25664331745760899</v>
          </cell>
          <cell r="W24">
            <v>0.25664331745760899</v>
          </cell>
          <cell r="X24">
            <v>0.25664331745760899</v>
          </cell>
          <cell r="Y24">
            <v>0.25664331745760899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1.16648674967606</v>
          </cell>
          <cell r="G27">
            <v>2.7388032873630301</v>
          </cell>
          <cell r="H27">
            <v>5.1468084628594601</v>
          </cell>
          <cell r="I27">
            <v>7.8574018169074398</v>
          </cell>
          <cell r="J27">
            <v>10.8726964638852</v>
          </cell>
          <cell r="K27">
            <v>10.8726964638852</v>
          </cell>
          <cell r="L27">
            <v>10.8726964638852</v>
          </cell>
          <cell r="M27">
            <v>10.8726964638852</v>
          </cell>
          <cell r="N27">
            <v>10.8726964638852</v>
          </cell>
          <cell r="O27">
            <v>10.8726964638852</v>
          </cell>
          <cell r="P27">
            <v>10.51903337781</v>
          </cell>
          <cell r="Q27">
            <v>8.9467168401230399</v>
          </cell>
          <cell r="R27">
            <v>6.5387116646266197</v>
          </cell>
          <cell r="S27">
            <v>3.82811831057868</v>
          </cell>
          <cell r="T27">
            <v>0.81282366360086</v>
          </cell>
          <cell r="U27">
            <v>0.81282366360086</v>
          </cell>
          <cell r="V27">
            <v>0.81282366360086</v>
          </cell>
          <cell r="W27">
            <v>0.81282366360086</v>
          </cell>
          <cell r="X27">
            <v>0.81282366360086</v>
          </cell>
          <cell r="Y27">
            <v>0.81282366360086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</row>
      </sheetData>
      <sheetData sheetId="7"/>
      <sheetData sheetId="8"/>
      <sheetData sheetId="9">
        <row r="6">
          <cell r="AF6" t="str">
            <v>Cost</v>
          </cell>
          <cell r="AG6" t="str">
            <v>Benefit</v>
          </cell>
          <cell r="AI6" t="str">
            <v>Cost</v>
          </cell>
          <cell r="AJ6" t="str">
            <v>Benefit</v>
          </cell>
          <cell r="AL6" t="str">
            <v>Cost</v>
          </cell>
          <cell r="AM6" t="str">
            <v>Benefit</v>
          </cell>
          <cell r="AO6" t="str">
            <v>Cost</v>
          </cell>
          <cell r="AP6" t="str">
            <v>Benefit</v>
          </cell>
        </row>
        <row r="7">
          <cell r="E7">
            <v>70.845407595907147</v>
          </cell>
          <cell r="K7">
            <v>70.845407595907147</v>
          </cell>
          <cell r="N7">
            <v>70.845407595907147</v>
          </cell>
          <cell r="S7">
            <v>23.928750545716824</v>
          </cell>
          <cell r="Y7">
            <v>23.928750545716824</v>
          </cell>
          <cell r="AB7">
            <v>23.928750545716824</v>
          </cell>
          <cell r="AF7">
            <v>0</v>
          </cell>
          <cell r="AG7">
            <v>46.916657050190324</v>
          </cell>
          <cell r="AI7">
            <v>0</v>
          </cell>
          <cell r="AJ7">
            <v>0</v>
          </cell>
          <cell r="AL7">
            <v>0</v>
          </cell>
          <cell r="AM7">
            <v>46.916657050190324</v>
          </cell>
          <cell r="AO7">
            <v>0</v>
          </cell>
          <cell r="AP7">
            <v>46.916657050190324</v>
          </cell>
        </row>
        <row r="8">
          <cell r="B8" t="str">
            <v>Incremental Vehicle Cost</v>
          </cell>
          <cell r="D8">
            <v>342.74840133010298</v>
          </cell>
          <cell r="J8">
            <v>342.74840133010298</v>
          </cell>
          <cell r="M8">
            <v>342.74840133010298</v>
          </cell>
          <cell r="R8">
            <v>113.753287888957</v>
          </cell>
          <cell r="X8">
            <v>113.753287888957</v>
          </cell>
          <cell r="AA8">
            <v>113.753287888957</v>
          </cell>
          <cell r="AF8">
            <v>228.99511344114597</v>
          </cell>
          <cell r="AG8">
            <v>0</v>
          </cell>
          <cell r="AI8">
            <v>0</v>
          </cell>
          <cell r="AJ8">
            <v>0</v>
          </cell>
          <cell r="AL8">
            <v>228.99511344114597</v>
          </cell>
          <cell r="AM8">
            <v>0</v>
          </cell>
          <cell r="AO8">
            <v>228.99511344114597</v>
          </cell>
          <cell r="AP8">
            <v>0</v>
          </cell>
        </row>
        <row r="9">
          <cell r="B9" t="str">
            <v>Federal Tax Credit</v>
          </cell>
          <cell r="E9">
            <v>47.190770696214102</v>
          </cell>
          <cell r="K9">
            <v>47.190770696214102</v>
          </cell>
          <cell r="N9">
            <v>47.190770696214102</v>
          </cell>
          <cell r="S9">
            <v>14.1572312088642</v>
          </cell>
          <cell r="Y9">
            <v>14.1572312088642</v>
          </cell>
          <cell r="AB9">
            <v>14.1572312088642</v>
          </cell>
          <cell r="AF9">
            <v>0</v>
          </cell>
          <cell r="AG9">
            <v>33.033539487349898</v>
          </cell>
          <cell r="AI9">
            <v>0</v>
          </cell>
          <cell r="AJ9">
            <v>0</v>
          </cell>
          <cell r="AL9">
            <v>0</v>
          </cell>
          <cell r="AM9">
            <v>33.033539487349898</v>
          </cell>
          <cell r="AO9">
            <v>0</v>
          </cell>
          <cell r="AP9">
            <v>33.033539487349898</v>
          </cell>
        </row>
        <row r="10">
          <cell r="B10" t="str">
            <v>State Tax Credit</v>
          </cell>
          <cell r="E10">
            <v>4.4446479034504298</v>
          </cell>
          <cell r="S10">
            <v>1.3333943710351299</v>
          </cell>
          <cell r="AF10">
            <v>0</v>
          </cell>
          <cell r="AG10">
            <v>3.1112535324152999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O10">
            <v>0</v>
          </cell>
          <cell r="AP10">
            <v>0</v>
          </cell>
        </row>
        <row r="12">
          <cell r="B12" t="str">
            <v>Utility Charger Cost</v>
          </cell>
          <cell r="G12">
            <v>238.73729165030255</v>
          </cell>
          <cell r="J12">
            <v>238.73729165030255</v>
          </cell>
          <cell r="M12">
            <v>238.73729165030255</v>
          </cell>
          <cell r="AF12">
            <v>0</v>
          </cell>
          <cell r="AG12">
            <v>0</v>
          </cell>
          <cell r="AI12">
            <v>238.73729165030255</v>
          </cell>
          <cell r="AJ12">
            <v>0</v>
          </cell>
          <cell r="AL12">
            <v>238.73729165030255</v>
          </cell>
          <cell r="AM12">
            <v>0</v>
          </cell>
          <cell r="AO12">
            <v>238.73729165030255</v>
          </cell>
          <cell r="AP12">
            <v>0</v>
          </cell>
        </row>
        <row r="13">
          <cell r="B13" t="str">
            <v>Utility Bills</v>
          </cell>
          <cell r="D13">
            <v>192.16598229929201</v>
          </cell>
          <cell r="H13">
            <v>192.16598229929201</v>
          </cell>
          <cell r="R13">
            <v>140.11510682391099</v>
          </cell>
          <cell r="V13">
            <v>140.11510682391099</v>
          </cell>
          <cell r="AF13">
            <v>52.050875475381019</v>
          </cell>
          <cell r="AG13">
            <v>0</v>
          </cell>
          <cell r="AI13">
            <v>0</v>
          </cell>
          <cell r="AJ13">
            <v>52.050875475381019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</row>
        <row r="14">
          <cell r="B14" t="str">
            <v>Marginal Energy Cost</v>
          </cell>
          <cell r="G14">
            <v>78.971552020872593</v>
          </cell>
          <cell r="J14">
            <v>78.971552020872593</v>
          </cell>
          <cell r="M14">
            <v>78.971552020872593</v>
          </cell>
          <cell r="U14">
            <v>37.7956214348483</v>
          </cell>
          <cell r="X14">
            <v>37.7956214348483</v>
          </cell>
          <cell r="AA14">
            <v>37.7956214348483</v>
          </cell>
          <cell r="AF14">
            <v>0</v>
          </cell>
          <cell r="AG14">
            <v>0</v>
          </cell>
          <cell r="AI14">
            <v>41.175930586024293</v>
          </cell>
          <cell r="AJ14">
            <v>0</v>
          </cell>
          <cell r="AL14">
            <v>41.175930586024293</v>
          </cell>
          <cell r="AM14">
            <v>0</v>
          </cell>
          <cell r="AO14">
            <v>41.175930586024293</v>
          </cell>
          <cell r="AP14">
            <v>0</v>
          </cell>
        </row>
        <row r="15">
          <cell r="B15" t="str">
            <v>Marginal Losses Cost</v>
          </cell>
          <cell r="G15">
            <v>5.4835855059823002</v>
          </cell>
          <cell r="J15">
            <v>5.4835855059823002</v>
          </cell>
          <cell r="M15">
            <v>5.4835855059823002</v>
          </cell>
          <cell r="U15">
            <v>2.76044346012405</v>
          </cell>
          <cell r="X15">
            <v>2.76044346012405</v>
          </cell>
          <cell r="AA15">
            <v>2.76044346012405</v>
          </cell>
          <cell r="AF15">
            <v>0</v>
          </cell>
          <cell r="AG15">
            <v>0</v>
          </cell>
          <cell r="AI15">
            <v>2.7231420458582503</v>
          </cell>
          <cell r="AJ15">
            <v>0</v>
          </cell>
          <cell r="AL15">
            <v>2.7231420458582503</v>
          </cell>
          <cell r="AM15">
            <v>0</v>
          </cell>
          <cell r="AO15">
            <v>2.7231420458582503</v>
          </cell>
          <cell r="AP15">
            <v>0</v>
          </cell>
        </row>
        <row r="16">
          <cell r="B16" t="str">
            <v>Marginal A/S Cost</v>
          </cell>
          <cell r="G16">
            <v>0.78971552020872604</v>
          </cell>
          <cell r="J16">
            <v>0.78971552020872604</v>
          </cell>
          <cell r="M16">
            <v>0.78971552020872604</v>
          </cell>
          <cell r="U16">
            <v>0.37795621434848198</v>
          </cell>
          <cell r="X16">
            <v>0.37795621434848198</v>
          </cell>
          <cell r="AA16">
            <v>0.37795621434848198</v>
          </cell>
          <cell r="AF16">
            <v>0</v>
          </cell>
          <cell r="AG16">
            <v>0</v>
          </cell>
          <cell r="AI16">
            <v>0.41175930586024406</v>
          </cell>
          <cell r="AJ16">
            <v>0</v>
          </cell>
          <cell r="AL16">
            <v>0.41175930586024406</v>
          </cell>
          <cell r="AM16">
            <v>0</v>
          </cell>
          <cell r="AO16">
            <v>0.41175930586024406</v>
          </cell>
          <cell r="AP16">
            <v>0</v>
          </cell>
        </row>
        <row r="17">
          <cell r="B17" t="str">
            <v>Marginal RPS Premium</v>
          </cell>
          <cell r="G17">
            <v>19.844182622566802</v>
          </cell>
          <cell r="J17">
            <v>19.844182622566802</v>
          </cell>
          <cell r="M17">
            <v>19.844182622566802</v>
          </cell>
          <cell r="U17">
            <v>6.8303249039018397</v>
          </cell>
          <cell r="X17">
            <v>6.8303249039018397</v>
          </cell>
          <cell r="AA17">
            <v>6.8303249039018397</v>
          </cell>
          <cell r="AF17">
            <v>0</v>
          </cell>
          <cell r="AG17">
            <v>0</v>
          </cell>
          <cell r="AI17">
            <v>13.013857718664962</v>
          </cell>
          <cell r="AJ17">
            <v>0</v>
          </cell>
          <cell r="AL17">
            <v>13.013857718664962</v>
          </cell>
          <cell r="AM17">
            <v>0</v>
          </cell>
          <cell r="AO17">
            <v>13.013857718664962</v>
          </cell>
          <cell r="AP17">
            <v>0</v>
          </cell>
        </row>
        <row r="18">
          <cell r="B18" t="str">
            <v>Marginal Gen Capacity Cost</v>
          </cell>
          <cell r="G18">
            <v>0</v>
          </cell>
          <cell r="J18">
            <v>0</v>
          </cell>
          <cell r="M18">
            <v>0</v>
          </cell>
          <cell r="U18">
            <v>17.918528092455801</v>
          </cell>
          <cell r="X18">
            <v>17.918528092455801</v>
          </cell>
          <cell r="AA18">
            <v>17.918528092455801</v>
          </cell>
          <cell r="AF18">
            <v>0</v>
          </cell>
          <cell r="AG18">
            <v>0</v>
          </cell>
          <cell r="AI18">
            <v>0</v>
          </cell>
          <cell r="AJ18">
            <v>17.918528092455801</v>
          </cell>
          <cell r="AL18">
            <v>0</v>
          </cell>
          <cell r="AM18">
            <v>17.918528092455801</v>
          </cell>
          <cell r="AO18">
            <v>0</v>
          </cell>
          <cell r="AP18">
            <v>17.918528092455801</v>
          </cell>
        </row>
        <row r="19">
          <cell r="B19" t="str">
            <v>Marginal T&amp;D Cost</v>
          </cell>
          <cell r="G19">
            <v>58.924321147131501</v>
          </cell>
          <cell r="J19">
            <v>58.924321147131501</v>
          </cell>
          <cell r="M19">
            <v>58.924321147131501</v>
          </cell>
          <cell r="U19">
            <v>17.798567655135098</v>
          </cell>
          <cell r="X19">
            <v>17.798567655135098</v>
          </cell>
          <cell r="AA19">
            <v>17.798567655135098</v>
          </cell>
          <cell r="AF19">
            <v>0</v>
          </cell>
          <cell r="AG19">
            <v>0</v>
          </cell>
          <cell r="AI19">
            <v>41.125753491996406</v>
          </cell>
          <cell r="AJ19">
            <v>0</v>
          </cell>
          <cell r="AL19">
            <v>41.125753491996406</v>
          </cell>
          <cell r="AM19">
            <v>0</v>
          </cell>
          <cell r="AO19">
            <v>41.125753491996406</v>
          </cell>
          <cell r="AP19">
            <v>0</v>
          </cell>
        </row>
        <row r="20">
          <cell r="B20" t="str">
            <v>Gasoline Cost</v>
          </cell>
          <cell r="E20">
            <v>504.35584473538302</v>
          </cell>
          <cell r="K20">
            <v>504.35584473538302</v>
          </cell>
          <cell r="N20">
            <v>504.35584473538302</v>
          </cell>
          <cell r="S20">
            <v>153.67892505348399</v>
          </cell>
          <cell r="Y20">
            <v>153.67892505348399</v>
          </cell>
          <cell r="AB20">
            <v>153.67892505348399</v>
          </cell>
          <cell r="AF20">
            <v>0</v>
          </cell>
          <cell r="AG20">
            <v>350.67691968189899</v>
          </cell>
          <cell r="AI20">
            <v>0</v>
          </cell>
          <cell r="AJ20">
            <v>0</v>
          </cell>
          <cell r="AL20">
            <v>0</v>
          </cell>
          <cell r="AM20">
            <v>350.67691968189899</v>
          </cell>
          <cell r="AO20">
            <v>0</v>
          </cell>
          <cell r="AP20">
            <v>350.67691968189899</v>
          </cell>
        </row>
        <row r="21">
          <cell r="B21" t="str">
            <v>LCFS Credit</v>
          </cell>
          <cell r="H21">
            <v>91.001968951113497</v>
          </cell>
          <cell r="V21">
            <v>27.700538132946999</v>
          </cell>
          <cell r="AF21">
            <v>0</v>
          </cell>
          <cell r="AG21">
            <v>0</v>
          </cell>
          <cell r="AI21">
            <v>0</v>
          </cell>
          <cell r="AJ21">
            <v>63.301430818166494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</row>
        <row r="22">
          <cell r="B22" t="str">
            <v>Criteria Pollutant Cost</v>
          </cell>
          <cell r="M22">
            <v>14.616072218503</v>
          </cell>
          <cell r="AA22">
            <v>14.085850992233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0.53022122626999924</v>
          </cell>
          <cell r="AP22">
            <v>0</v>
          </cell>
        </row>
        <row r="23">
          <cell r="B23" t="str">
            <v>Program Cost</v>
          </cell>
          <cell r="G23">
            <v>42.726440106767924</v>
          </cell>
          <cell r="J23">
            <v>42.726440106767924</v>
          </cell>
          <cell r="M23">
            <v>42.726440106767924</v>
          </cell>
          <cell r="AF23">
            <v>0</v>
          </cell>
          <cell r="AG23">
            <v>0</v>
          </cell>
          <cell r="AI23">
            <v>42.726440106767924</v>
          </cell>
          <cell r="AJ23">
            <v>0</v>
          </cell>
          <cell r="AL23">
            <v>42.726440106767924</v>
          </cell>
          <cell r="AM23">
            <v>0</v>
          </cell>
          <cell r="AO23">
            <v>42.726440106767924</v>
          </cell>
          <cell r="AP2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Ownership and Rates"/>
      <sheetName val="GIR Rates"/>
      <sheetName val="Marginal Costs"/>
      <sheetName val="General and Financial"/>
      <sheetName val="Charger and Program Costs"/>
      <sheetName val="Gasoline and Emissions"/>
      <sheetName val="Sensitivity Analysis"/>
      <sheetName val="Vehicle Driving Info"/>
      <sheetName val="Program Adoption"/>
      <sheetName val="Reference Adoption"/>
      <sheetName val="Vehicle Info"/>
      <sheetName val="Vehicle Costs"/>
      <sheetName val="Charger Info"/>
      <sheetName val="ICF Sources &amp; 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J2">
            <v>47</v>
          </cell>
        </row>
        <row r="3">
          <cell r="J3">
            <v>17</v>
          </cell>
        </row>
        <row r="4">
          <cell r="J4">
            <v>9</v>
          </cell>
        </row>
        <row r="5">
          <cell r="J5">
            <v>17</v>
          </cell>
        </row>
        <row r="14">
          <cell r="J14">
            <v>48</v>
          </cell>
        </row>
        <row r="15">
          <cell r="J15">
            <v>40</v>
          </cell>
        </row>
        <row r="16">
          <cell r="J16">
            <v>32</v>
          </cell>
        </row>
        <row r="17">
          <cell r="J17">
            <v>90</v>
          </cell>
        </row>
        <row r="18">
          <cell r="J18">
            <v>13</v>
          </cell>
        </row>
        <row r="19">
          <cell r="J19">
            <v>0</v>
          </cell>
        </row>
        <row r="20">
          <cell r="J20">
            <v>54</v>
          </cell>
        </row>
        <row r="21">
          <cell r="J21">
            <v>4</v>
          </cell>
        </row>
        <row r="23">
          <cell r="J23">
            <v>900</v>
          </cell>
        </row>
        <row r="24">
          <cell r="J24">
            <v>600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NPVResults"/>
      <sheetName val="Marginal Costs"/>
      <sheetName val="Model Outputs"/>
      <sheetName val="GrossCostTestComponents"/>
      <sheetName val="RefCostTestComponents"/>
      <sheetName val="AnnualQtys"/>
      <sheetName val="AdditionalMetrics"/>
      <sheetName val="ProgramCosts"/>
      <sheetName val="DataForGraphs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AK5">
            <v>450774.16819920059</v>
          </cell>
        </row>
        <row r="6">
          <cell r="AK6">
            <v>1189568.2215831808</v>
          </cell>
        </row>
        <row r="8">
          <cell r="AK8">
            <v>1712524655.6244731</v>
          </cell>
        </row>
        <row r="20">
          <cell r="AK20">
            <v>215166.92688035787</v>
          </cell>
        </row>
        <row r="21">
          <cell r="AK21">
            <v>362098.53768558212</v>
          </cell>
        </row>
        <row r="23">
          <cell r="AK23">
            <v>522378703.12894255</v>
          </cell>
        </row>
      </sheetData>
      <sheetData sheetId="7"/>
      <sheetData sheetId="8"/>
      <sheetData sheetId="9">
        <row r="7">
          <cell r="E7">
            <v>70.845407595907147</v>
          </cell>
          <cell r="K7">
            <v>70.845407595907147</v>
          </cell>
          <cell r="N7">
            <v>70.845407595907147</v>
          </cell>
          <cell r="S7">
            <v>23.928750545716824</v>
          </cell>
          <cell r="Y7">
            <v>23.928750545716824</v>
          </cell>
          <cell r="AB7">
            <v>23.928750545716824</v>
          </cell>
        </row>
        <row r="8">
          <cell r="B8" t="str">
            <v>Incremental Vehicle Cost</v>
          </cell>
          <cell r="D8">
            <v>198.138915305392</v>
          </cell>
          <cell r="J8">
            <v>198.138915305392</v>
          </cell>
          <cell r="M8">
            <v>198.138915305392</v>
          </cell>
          <cell r="R8">
            <v>63.890246511556903</v>
          </cell>
          <cell r="X8">
            <v>63.890246511556903</v>
          </cell>
          <cell r="AA8">
            <v>63.890246511556903</v>
          </cell>
          <cell r="AF8">
            <v>134.24866879383509</v>
          </cell>
          <cell r="AG8">
            <v>0</v>
          </cell>
          <cell r="AI8">
            <v>0</v>
          </cell>
          <cell r="AJ8">
            <v>0</v>
          </cell>
          <cell r="AL8">
            <v>134.24866879383509</v>
          </cell>
          <cell r="AM8">
            <v>0</v>
          </cell>
          <cell r="AO8">
            <v>134.24866879383509</v>
          </cell>
          <cell r="AP8">
            <v>0</v>
          </cell>
        </row>
        <row r="9">
          <cell r="B9" t="str">
            <v>Federal Tax Credit</v>
          </cell>
          <cell r="E9">
            <v>193.67730375007301</v>
          </cell>
          <cell r="K9">
            <v>193.67730375007301</v>
          </cell>
          <cell r="N9">
            <v>193.67730375007301</v>
          </cell>
          <cell r="S9">
            <v>62.561735820079797</v>
          </cell>
          <cell r="Y9">
            <v>62.561735820079797</v>
          </cell>
          <cell r="AB9">
            <v>62.561735820079797</v>
          </cell>
          <cell r="AF9">
            <v>0</v>
          </cell>
          <cell r="AG9">
            <v>131.1155679299932</v>
          </cell>
          <cell r="AI9">
            <v>0</v>
          </cell>
          <cell r="AJ9">
            <v>0</v>
          </cell>
          <cell r="AL9">
            <v>0</v>
          </cell>
          <cell r="AM9">
            <v>131.1155679299932</v>
          </cell>
          <cell r="AO9">
            <v>0</v>
          </cell>
          <cell r="AP9">
            <v>131.1155679299932</v>
          </cell>
        </row>
        <row r="10">
          <cell r="B10" t="str">
            <v>State Tax Credit</v>
          </cell>
          <cell r="E10">
            <v>4.4616115553190596</v>
          </cell>
          <cell r="S10">
            <v>1.3285106914771101</v>
          </cell>
          <cell r="AF10">
            <v>0</v>
          </cell>
          <cell r="AG10">
            <v>3.1331008638419497</v>
          </cell>
          <cell r="AI10">
            <v>0</v>
          </cell>
          <cell r="AJ10">
            <v>0</v>
          </cell>
          <cell r="AL10">
            <v>0</v>
          </cell>
          <cell r="AM10">
            <v>0</v>
          </cell>
          <cell r="AO10">
            <v>0</v>
          </cell>
          <cell r="AP10">
            <v>0</v>
          </cell>
        </row>
        <row r="12">
          <cell r="B12" t="str">
            <v>Utility Charger Cost</v>
          </cell>
          <cell r="G12">
            <v>238.73729165030255</v>
          </cell>
          <cell r="J12">
            <v>238.73729165030255</v>
          </cell>
          <cell r="M12">
            <v>238.73729165030255</v>
          </cell>
          <cell r="AF12">
            <v>0</v>
          </cell>
          <cell r="AG12">
            <v>0</v>
          </cell>
          <cell r="AI12">
            <v>238.73729165030255</v>
          </cell>
          <cell r="AJ12">
            <v>0</v>
          </cell>
          <cell r="AL12">
            <v>238.73729165030255</v>
          </cell>
          <cell r="AM12">
            <v>0</v>
          </cell>
          <cell r="AO12">
            <v>238.73729165030255</v>
          </cell>
          <cell r="AP12">
            <v>0</v>
          </cell>
        </row>
        <row r="13">
          <cell r="B13" t="str">
            <v>Utility Bills</v>
          </cell>
          <cell r="D13">
            <v>192.16598229929201</v>
          </cell>
          <cell r="H13">
            <v>192.16598229929201</v>
          </cell>
          <cell r="R13">
            <v>140.11510682391099</v>
          </cell>
          <cell r="V13">
            <v>140.11510682391099</v>
          </cell>
          <cell r="AF13">
            <v>52.050875475381019</v>
          </cell>
          <cell r="AG13">
            <v>0</v>
          </cell>
          <cell r="AI13">
            <v>0</v>
          </cell>
          <cell r="AJ13">
            <v>52.050875475381019</v>
          </cell>
          <cell r="AL13">
            <v>0</v>
          </cell>
          <cell r="AM13">
            <v>0</v>
          </cell>
          <cell r="AO13">
            <v>0</v>
          </cell>
          <cell r="AP13">
            <v>0</v>
          </cell>
        </row>
        <row r="14">
          <cell r="B14" t="str">
            <v>Marginal Energy Cost</v>
          </cell>
          <cell r="G14">
            <v>78.971552020872593</v>
          </cell>
          <cell r="J14">
            <v>78.971552020872593</v>
          </cell>
          <cell r="M14">
            <v>78.971552020872593</v>
          </cell>
          <cell r="U14">
            <v>37.7956214348483</v>
          </cell>
          <cell r="X14">
            <v>37.7956214348483</v>
          </cell>
          <cell r="AA14">
            <v>37.7956214348483</v>
          </cell>
          <cell r="AF14">
            <v>0</v>
          </cell>
          <cell r="AG14">
            <v>0</v>
          </cell>
          <cell r="AI14">
            <v>41.175930586024293</v>
          </cell>
          <cell r="AJ14">
            <v>0</v>
          </cell>
          <cell r="AL14">
            <v>41.175930586024293</v>
          </cell>
          <cell r="AM14">
            <v>0</v>
          </cell>
          <cell r="AO14">
            <v>41.175930586024293</v>
          </cell>
          <cell r="AP14">
            <v>0</v>
          </cell>
        </row>
        <row r="15">
          <cell r="B15" t="str">
            <v>Marginal Losses Cost</v>
          </cell>
          <cell r="G15">
            <v>5.4835855059823002</v>
          </cell>
          <cell r="J15">
            <v>5.4835855059823002</v>
          </cell>
          <cell r="M15">
            <v>5.4835855059823002</v>
          </cell>
          <cell r="U15">
            <v>2.76044346012405</v>
          </cell>
          <cell r="X15">
            <v>2.76044346012405</v>
          </cell>
          <cell r="AA15">
            <v>2.76044346012405</v>
          </cell>
          <cell r="AF15">
            <v>0</v>
          </cell>
          <cell r="AG15">
            <v>0</v>
          </cell>
          <cell r="AI15">
            <v>2.7231420458582503</v>
          </cell>
          <cell r="AJ15">
            <v>0</v>
          </cell>
          <cell r="AL15">
            <v>2.7231420458582503</v>
          </cell>
          <cell r="AM15">
            <v>0</v>
          </cell>
          <cell r="AO15">
            <v>2.7231420458582503</v>
          </cell>
          <cell r="AP15">
            <v>0</v>
          </cell>
        </row>
        <row r="16">
          <cell r="B16" t="str">
            <v>Marginal A/S Cost</v>
          </cell>
          <cell r="G16">
            <v>0.78971552020872604</v>
          </cell>
          <cell r="J16">
            <v>0.78971552020872604</v>
          </cell>
          <cell r="M16">
            <v>0.78971552020872604</v>
          </cell>
          <cell r="U16">
            <v>0.37795621434848198</v>
          </cell>
          <cell r="X16">
            <v>0.37795621434848198</v>
          </cell>
          <cell r="AA16">
            <v>0.37795621434848198</v>
          </cell>
          <cell r="AF16">
            <v>0</v>
          </cell>
          <cell r="AG16">
            <v>0</v>
          </cell>
          <cell r="AI16">
            <v>0.41175930586024406</v>
          </cell>
          <cell r="AJ16">
            <v>0</v>
          </cell>
          <cell r="AL16">
            <v>0.41175930586024406</v>
          </cell>
          <cell r="AM16">
            <v>0</v>
          </cell>
          <cell r="AO16">
            <v>0.41175930586024406</v>
          </cell>
          <cell r="AP16">
            <v>0</v>
          </cell>
        </row>
        <row r="17">
          <cell r="B17" t="str">
            <v>Marginal RPS Premium</v>
          </cell>
          <cell r="G17">
            <v>19.844182622566802</v>
          </cell>
          <cell r="J17">
            <v>19.844182622566802</v>
          </cell>
          <cell r="M17">
            <v>19.844182622566802</v>
          </cell>
          <cell r="U17">
            <v>6.8303249039018397</v>
          </cell>
          <cell r="X17">
            <v>6.8303249039018397</v>
          </cell>
          <cell r="AA17">
            <v>6.8303249039018397</v>
          </cell>
          <cell r="AF17">
            <v>0</v>
          </cell>
          <cell r="AG17">
            <v>0</v>
          </cell>
          <cell r="AI17">
            <v>13.013857718664962</v>
          </cell>
          <cell r="AJ17">
            <v>0</v>
          </cell>
          <cell r="AL17">
            <v>13.013857718664962</v>
          </cell>
          <cell r="AM17">
            <v>0</v>
          </cell>
          <cell r="AO17">
            <v>13.013857718664962</v>
          </cell>
          <cell r="AP17">
            <v>0</v>
          </cell>
        </row>
        <row r="18">
          <cell r="B18" t="str">
            <v>Marginal Gen Capacity Cost</v>
          </cell>
          <cell r="G18">
            <v>0</v>
          </cell>
          <cell r="J18">
            <v>0</v>
          </cell>
          <cell r="M18">
            <v>0</v>
          </cell>
          <cell r="U18">
            <v>17.918528092455801</v>
          </cell>
          <cell r="X18">
            <v>17.918528092455801</v>
          </cell>
          <cell r="AA18">
            <v>17.918528092455801</v>
          </cell>
          <cell r="AF18">
            <v>0</v>
          </cell>
          <cell r="AG18">
            <v>0</v>
          </cell>
          <cell r="AI18">
            <v>0</v>
          </cell>
          <cell r="AJ18">
            <v>17.918528092455801</v>
          </cell>
          <cell r="AL18">
            <v>0</v>
          </cell>
          <cell r="AM18">
            <v>17.918528092455801</v>
          </cell>
          <cell r="AO18">
            <v>0</v>
          </cell>
          <cell r="AP18">
            <v>17.918528092455801</v>
          </cell>
        </row>
        <row r="19">
          <cell r="B19" t="str">
            <v>Marginal T&amp;D Cost</v>
          </cell>
          <cell r="G19">
            <v>58.924321147131501</v>
          </cell>
          <cell r="J19">
            <v>58.924321147131501</v>
          </cell>
          <cell r="M19">
            <v>58.924321147131501</v>
          </cell>
          <cell r="U19">
            <v>17.798567655135098</v>
          </cell>
          <cell r="X19">
            <v>17.798567655135098</v>
          </cell>
          <cell r="AA19">
            <v>17.798567655135098</v>
          </cell>
          <cell r="AF19">
            <v>0</v>
          </cell>
          <cell r="AG19">
            <v>0</v>
          </cell>
          <cell r="AI19">
            <v>41.125753491996406</v>
          </cell>
          <cell r="AJ19">
            <v>0</v>
          </cell>
          <cell r="AL19">
            <v>41.125753491996406</v>
          </cell>
          <cell r="AM19">
            <v>0</v>
          </cell>
          <cell r="AO19">
            <v>41.125753491996406</v>
          </cell>
          <cell r="AP19">
            <v>0</v>
          </cell>
        </row>
        <row r="20">
          <cell r="B20" t="str">
            <v>Gasoline Cost</v>
          </cell>
          <cell r="E20">
            <v>630.59295680789296</v>
          </cell>
          <cell r="K20">
            <v>630.59295680789296</v>
          </cell>
          <cell r="N20">
            <v>630.59295680789296</v>
          </cell>
          <cell r="S20">
            <v>192.143926132225</v>
          </cell>
          <cell r="Y20">
            <v>192.143926132225</v>
          </cell>
          <cell r="AB20">
            <v>192.143926132225</v>
          </cell>
          <cell r="AF20">
            <v>0</v>
          </cell>
          <cell r="AG20">
            <v>438.44903067566793</v>
          </cell>
          <cell r="AI20">
            <v>0</v>
          </cell>
          <cell r="AJ20">
            <v>0</v>
          </cell>
          <cell r="AL20">
            <v>0</v>
          </cell>
          <cell r="AM20">
            <v>438.44903067566793</v>
          </cell>
          <cell r="AO20">
            <v>0</v>
          </cell>
          <cell r="AP20">
            <v>438.44903067566793</v>
          </cell>
        </row>
        <row r="21">
          <cell r="B21" t="str">
            <v>LCFS Credit</v>
          </cell>
          <cell r="H21">
            <v>91.001968951113497</v>
          </cell>
          <cell r="V21">
            <v>27.700538132946999</v>
          </cell>
          <cell r="AF21">
            <v>0</v>
          </cell>
          <cell r="AG21">
            <v>0</v>
          </cell>
          <cell r="AI21">
            <v>0</v>
          </cell>
          <cell r="AJ21">
            <v>63.301430818166494</v>
          </cell>
          <cell r="AL21">
            <v>0</v>
          </cell>
          <cell r="AM21">
            <v>0</v>
          </cell>
          <cell r="AO21">
            <v>0</v>
          </cell>
          <cell r="AP21">
            <v>0</v>
          </cell>
        </row>
        <row r="22">
          <cell r="B22" t="str">
            <v>Criteria Pollutant Cost</v>
          </cell>
          <cell r="M22">
            <v>14.616072218503</v>
          </cell>
          <cell r="AA22">
            <v>14.085850992233</v>
          </cell>
          <cell r="AF22">
            <v>0</v>
          </cell>
          <cell r="AG22">
            <v>0</v>
          </cell>
          <cell r="AI22">
            <v>0</v>
          </cell>
          <cell r="AJ22">
            <v>0</v>
          </cell>
          <cell r="AL22">
            <v>0</v>
          </cell>
          <cell r="AM22">
            <v>0</v>
          </cell>
          <cell r="AO22">
            <v>0.53022122626999924</v>
          </cell>
          <cell r="AP22">
            <v>0</v>
          </cell>
        </row>
        <row r="23">
          <cell r="B23" t="str">
            <v>Program Cost</v>
          </cell>
          <cell r="G23">
            <v>42.726440106767924</v>
          </cell>
          <cell r="J23">
            <v>42.726440106767924</v>
          </cell>
          <cell r="M23">
            <v>42.726440106767924</v>
          </cell>
          <cell r="AF23">
            <v>0</v>
          </cell>
          <cell r="AG23">
            <v>0</v>
          </cell>
          <cell r="AI23">
            <v>42.726440106767924</v>
          </cell>
          <cell r="AJ23">
            <v>0</v>
          </cell>
          <cell r="AL23">
            <v>42.726440106767924</v>
          </cell>
          <cell r="AM23">
            <v>0</v>
          </cell>
          <cell r="AO23">
            <v>42.726440106767924</v>
          </cell>
          <cell r="AP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showGridLines="0" tabSelected="1" workbookViewId="0">
      <selection activeCell="B12" sqref="B12"/>
    </sheetView>
  </sheetViews>
  <sheetFormatPr defaultRowHeight="14.5" x14ac:dyDescent="0.35"/>
  <cols>
    <col min="1" max="1" width="9.08984375" style="17"/>
    <col min="2" max="2" width="28.90625" customWidth="1"/>
    <col min="3" max="3" width="29" customWidth="1"/>
    <col min="4" max="5" width="37.90625" customWidth="1"/>
    <col min="7" max="7" width="1.90625" customWidth="1"/>
    <col min="8" max="8" width="13" customWidth="1"/>
    <col min="9" max="9" width="3.453125" bestFit="1" customWidth="1"/>
    <col min="10" max="10" width="10.6328125" customWidth="1"/>
    <col min="11" max="11" width="4.453125" bestFit="1" customWidth="1"/>
    <col min="12" max="12" width="11.90625" customWidth="1"/>
    <col min="13" max="13" width="1.90625" customWidth="1"/>
    <col min="15" max="15" width="18.90625" style="17" customWidth="1"/>
    <col min="16" max="16" width="19.36328125" customWidth="1"/>
    <col min="17" max="17" width="36.36328125" customWidth="1"/>
    <col min="18" max="18" width="20.453125" customWidth="1"/>
    <col min="19" max="19" width="4.54296875" customWidth="1"/>
  </cols>
  <sheetData>
    <row r="1" spans="1:13" x14ac:dyDescent="0.35">
      <c r="A1" s="65" t="s">
        <v>54</v>
      </c>
      <c r="B1" s="65"/>
      <c r="C1" s="17"/>
      <c r="D1" s="17"/>
      <c r="E1" s="17"/>
    </row>
    <row r="2" spans="1:13" s="17" customFormat="1" x14ac:dyDescent="0.35">
      <c r="A2" s="47"/>
      <c r="B2" s="47"/>
      <c r="C2" s="47"/>
      <c r="D2" s="47"/>
      <c r="E2" s="47"/>
    </row>
    <row r="3" spans="1:13" s="17" customFormat="1" x14ac:dyDescent="0.35">
      <c r="A3" s="47"/>
      <c r="B3" s="47"/>
      <c r="C3" s="47"/>
      <c r="D3" s="47"/>
      <c r="E3" s="47"/>
    </row>
    <row r="4" spans="1:13" s="17" customFormat="1" x14ac:dyDescent="0.35">
      <c r="A4" s="47"/>
      <c r="B4" s="47"/>
      <c r="C4" s="47"/>
      <c r="D4" s="47"/>
      <c r="E4" s="47"/>
    </row>
    <row r="5" spans="1:13" s="17" customFormat="1" x14ac:dyDescent="0.35">
      <c r="A5" s="47"/>
      <c r="B5" s="47"/>
      <c r="C5" s="47"/>
      <c r="D5" s="47"/>
      <c r="E5" s="47"/>
    </row>
    <row r="6" spans="1:13" s="17" customFormat="1" x14ac:dyDescent="0.35">
      <c r="A6" s="47"/>
      <c r="B6" s="47"/>
      <c r="C6" s="47"/>
      <c r="D6" s="47"/>
      <c r="E6" s="47"/>
    </row>
    <row r="7" spans="1:13" s="17" customFormat="1" x14ac:dyDescent="0.35">
      <c r="A7" s="47"/>
      <c r="B7" s="47"/>
      <c r="C7" s="47"/>
      <c r="D7" s="47"/>
      <c r="E7" s="47"/>
    </row>
    <row r="8" spans="1:13" s="17" customFormat="1" x14ac:dyDescent="0.35">
      <c r="A8" s="47"/>
      <c r="B8" s="47"/>
      <c r="C8" s="47"/>
      <c r="D8" s="47"/>
      <c r="E8" s="47"/>
    </row>
    <row r="9" spans="1:13" s="17" customFormat="1" x14ac:dyDescent="0.35">
      <c r="A9" s="47"/>
      <c r="B9" s="47"/>
      <c r="C9" s="47"/>
      <c r="D9" s="47"/>
      <c r="E9" s="47"/>
    </row>
    <row r="11" spans="1:13" x14ac:dyDescent="0.35">
      <c r="G11" s="65" t="s">
        <v>62</v>
      </c>
    </row>
    <row r="12" spans="1:13" x14ac:dyDescent="0.35">
      <c r="G12" s="263" t="s">
        <v>56</v>
      </c>
      <c r="H12" s="264"/>
      <c r="I12" s="264"/>
      <c r="J12" s="264"/>
      <c r="K12" s="264"/>
      <c r="L12" s="264"/>
      <c r="M12" s="265"/>
    </row>
    <row r="13" spans="1:13" x14ac:dyDescent="0.35">
      <c r="G13" s="260" t="s">
        <v>57</v>
      </c>
      <c r="H13" s="261"/>
      <c r="I13" s="261"/>
      <c r="J13" s="261"/>
      <c r="K13" s="261"/>
      <c r="L13" s="261"/>
      <c r="M13" s="262"/>
    </row>
    <row r="14" spans="1:13" x14ac:dyDescent="0.35">
      <c r="G14" s="106"/>
      <c r="H14" s="47"/>
      <c r="I14" s="47"/>
      <c r="J14" s="47"/>
      <c r="K14" s="47"/>
      <c r="L14" s="47"/>
      <c r="M14" s="107"/>
    </row>
    <row r="15" spans="1:13" ht="43.5" x14ac:dyDescent="0.35">
      <c r="G15" s="106"/>
      <c r="H15" s="111" t="s">
        <v>59</v>
      </c>
      <c r="I15" s="112" t="s">
        <v>58</v>
      </c>
      <c r="J15" s="89" t="s">
        <v>75</v>
      </c>
      <c r="K15" s="113" t="s">
        <v>60</v>
      </c>
      <c r="L15" s="89" t="s">
        <v>96</v>
      </c>
      <c r="M15" s="107"/>
    </row>
    <row r="16" spans="1:13" x14ac:dyDescent="0.35">
      <c r="G16" s="108"/>
      <c r="H16" s="109"/>
      <c r="I16" s="109"/>
      <c r="J16" s="109"/>
      <c r="K16" s="109"/>
      <c r="L16" s="109"/>
      <c r="M16" s="110"/>
    </row>
    <row r="18" spans="1:19" x14ac:dyDescent="0.35">
      <c r="S18" s="17"/>
    </row>
    <row r="19" spans="1:19" ht="5.25" customHeight="1" x14ac:dyDescent="0.35">
      <c r="A19" s="47"/>
      <c r="B19" s="47"/>
      <c r="C19" s="47"/>
      <c r="D19" s="47"/>
      <c r="E19" s="47"/>
      <c r="F19" s="47"/>
      <c r="S19" s="107"/>
    </row>
    <row r="20" spans="1:19" s="17" customFormat="1" x14ac:dyDescent="0.35">
      <c r="S20" s="107"/>
    </row>
    <row r="21" spans="1:19" s="17" customFormat="1" x14ac:dyDescent="0.35">
      <c r="S21" s="107"/>
    </row>
    <row r="22" spans="1:19" s="17" customFormat="1" x14ac:dyDescent="0.35">
      <c r="S22" s="107"/>
    </row>
    <row r="23" spans="1:19" x14ac:dyDescent="0.35">
      <c r="S23" s="107"/>
    </row>
    <row r="24" spans="1:19" x14ac:dyDescent="0.35">
      <c r="S24" s="107"/>
    </row>
    <row r="25" spans="1:19" ht="24" customHeight="1" x14ac:dyDescent="0.35">
      <c r="S25" s="107"/>
    </row>
    <row r="26" spans="1:19" x14ac:dyDescent="0.35">
      <c r="F26" s="47"/>
    </row>
    <row r="27" spans="1:19" x14ac:dyDescent="0.35">
      <c r="F27" s="47"/>
    </row>
    <row r="28" spans="1:19" x14ac:dyDescent="0.35">
      <c r="F28" s="47"/>
    </row>
  </sheetData>
  <mergeCells count="2">
    <mergeCell ref="G13:M13"/>
    <mergeCell ref="G12:M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showGridLines="0" workbookViewId="0"/>
  </sheetViews>
  <sheetFormatPr defaultRowHeight="14.5" x14ac:dyDescent="0.35"/>
  <cols>
    <col min="1" max="1" width="15" customWidth="1"/>
    <col min="2" max="2" width="24.54296875" bestFit="1" customWidth="1"/>
    <col min="3" max="6" width="7.6328125" bestFit="1" customWidth="1"/>
  </cols>
  <sheetData>
    <row r="1" spans="1:6" x14ac:dyDescent="0.35">
      <c r="A1" s="17" t="s">
        <v>160</v>
      </c>
      <c r="B1" s="17"/>
      <c r="C1" s="17"/>
      <c r="D1" s="17"/>
      <c r="E1" s="17"/>
      <c r="F1" s="17"/>
    </row>
    <row r="2" spans="1:6" ht="15" thickBot="1" x14ac:dyDescent="0.4">
      <c r="A2" s="173"/>
      <c r="B2" s="173"/>
      <c r="C2" s="173"/>
      <c r="D2" s="173"/>
      <c r="E2" s="173"/>
      <c r="F2" s="173"/>
    </row>
    <row r="3" spans="1:6" ht="15.5" x14ac:dyDescent="0.35">
      <c r="A3" s="269" t="s">
        <v>99</v>
      </c>
      <c r="B3" s="270"/>
      <c r="C3" s="270"/>
      <c r="D3" s="270"/>
      <c r="E3" s="270"/>
      <c r="F3" s="271"/>
    </row>
    <row r="4" spans="1:6" ht="15.5" x14ac:dyDescent="0.35">
      <c r="A4" s="2"/>
      <c r="B4" s="3"/>
      <c r="C4" s="3"/>
      <c r="D4" s="3"/>
      <c r="E4" s="3"/>
      <c r="F4" s="174"/>
    </row>
    <row r="5" spans="1:6" ht="15.5" x14ac:dyDescent="0.35">
      <c r="A5" s="2"/>
      <c r="B5" s="3"/>
      <c r="C5" s="272" t="s">
        <v>100</v>
      </c>
      <c r="D5" s="273"/>
      <c r="E5" s="273"/>
      <c r="F5" s="274"/>
    </row>
    <row r="6" spans="1:6" ht="16" thickBot="1" x14ac:dyDescent="0.4">
      <c r="A6" s="275" t="s">
        <v>101</v>
      </c>
      <c r="B6" s="276"/>
      <c r="C6" s="175" t="s">
        <v>9</v>
      </c>
      <c r="D6" s="175" t="s">
        <v>7</v>
      </c>
      <c r="E6" s="175" t="s">
        <v>8</v>
      </c>
      <c r="F6" s="176" t="s">
        <v>6</v>
      </c>
    </row>
    <row r="7" spans="1:6" ht="15.5" x14ac:dyDescent="0.35">
      <c r="A7" s="277" t="s">
        <v>13</v>
      </c>
      <c r="B7" s="177" t="s">
        <v>5</v>
      </c>
      <c r="C7" s="178"/>
      <c r="D7" s="179" t="s">
        <v>102</v>
      </c>
      <c r="E7" s="179" t="s">
        <v>102</v>
      </c>
      <c r="F7" s="180" t="s">
        <v>102</v>
      </c>
    </row>
    <row r="8" spans="1:6" s="17" customFormat="1" ht="15.5" x14ac:dyDescent="0.35">
      <c r="A8" s="277"/>
      <c r="B8" s="177" t="s">
        <v>94</v>
      </c>
      <c r="C8" s="236"/>
      <c r="D8" s="183" t="s">
        <v>103</v>
      </c>
      <c r="E8" s="183" t="s">
        <v>103</v>
      </c>
      <c r="F8" s="184" t="s">
        <v>103</v>
      </c>
    </row>
    <row r="9" spans="1:6" ht="15.5" x14ac:dyDescent="0.35">
      <c r="A9" s="277"/>
      <c r="B9" s="181" t="s">
        <v>2</v>
      </c>
      <c r="C9" s="182"/>
      <c r="D9" s="183" t="s">
        <v>103</v>
      </c>
      <c r="E9" s="183" t="s">
        <v>103</v>
      </c>
      <c r="F9" s="184" t="s">
        <v>103</v>
      </c>
    </row>
    <row r="10" spans="1:6" ht="15.5" x14ac:dyDescent="0.35">
      <c r="A10" s="277"/>
      <c r="B10" s="181" t="s">
        <v>4</v>
      </c>
      <c r="C10" s="185" t="s">
        <v>103</v>
      </c>
      <c r="D10" s="183" t="s">
        <v>102</v>
      </c>
      <c r="E10" s="186"/>
      <c r="F10" s="187"/>
    </row>
    <row r="11" spans="1:6" ht="15.5" x14ac:dyDescent="0.35">
      <c r="A11" s="277"/>
      <c r="B11" s="181" t="s">
        <v>3</v>
      </c>
      <c r="C11" s="182"/>
      <c r="D11" s="183" t="s">
        <v>103</v>
      </c>
      <c r="E11" s="183" t="s">
        <v>103</v>
      </c>
      <c r="F11" s="184" t="s">
        <v>103</v>
      </c>
    </row>
    <row r="12" spans="1:6" ht="15.5" x14ac:dyDescent="0.35">
      <c r="A12" s="278"/>
      <c r="B12" s="181" t="s">
        <v>38</v>
      </c>
      <c r="C12" s="182"/>
      <c r="D12" s="183" t="s">
        <v>103</v>
      </c>
      <c r="E12" s="186"/>
      <c r="F12" s="187"/>
    </row>
    <row r="13" spans="1:6" ht="15.5" x14ac:dyDescent="0.35">
      <c r="A13" s="166" t="s">
        <v>104</v>
      </c>
      <c r="B13" s="188" t="s">
        <v>105</v>
      </c>
      <c r="C13" s="189" t="s">
        <v>102</v>
      </c>
      <c r="D13" s="190"/>
      <c r="E13" s="189" t="s">
        <v>102</v>
      </c>
      <c r="F13" s="191" t="s">
        <v>102</v>
      </c>
    </row>
    <row r="14" spans="1:6" ht="15.5" x14ac:dyDescent="0.35">
      <c r="A14" s="166" t="s">
        <v>106</v>
      </c>
      <c r="B14" s="188" t="s">
        <v>107</v>
      </c>
      <c r="C14" s="192" t="s">
        <v>102</v>
      </c>
      <c r="D14" s="190"/>
      <c r="E14" s="189" t="s">
        <v>102</v>
      </c>
      <c r="F14" s="191" t="s">
        <v>102</v>
      </c>
    </row>
    <row r="15" spans="1:6" ht="15.5" x14ac:dyDescent="0.35">
      <c r="A15" s="279" t="s">
        <v>108</v>
      </c>
      <c r="B15" s="181" t="s">
        <v>22</v>
      </c>
      <c r="C15" s="185" t="s">
        <v>102</v>
      </c>
      <c r="D15" s="186"/>
      <c r="E15" s="185" t="s">
        <v>102</v>
      </c>
      <c r="F15" s="193" t="s">
        <v>102</v>
      </c>
    </row>
    <row r="16" spans="1:6" ht="15.5" x14ac:dyDescent="0.35">
      <c r="A16" s="277"/>
      <c r="B16" s="181" t="s">
        <v>109</v>
      </c>
      <c r="C16" s="185" t="s">
        <v>102</v>
      </c>
      <c r="D16" s="186"/>
      <c r="E16" s="185" t="s">
        <v>102</v>
      </c>
      <c r="F16" s="193" t="s">
        <v>102</v>
      </c>
    </row>
    <row r="17" spans="1:12" ht="15.5" x14ac:dyDescent="0.35">
      <c r="A17" s="277"/>
      <c r="B17" s="181" t="s">
        <v>110</v>
      </c>
      <c r="C17" s="185" t="s">
        <v>102</v>
      </c>
      <c r="D17" s="186"/>
      <c r="E17" s="185" t="s">
        <v>102</v>
      </c>
      <c r="F17" s="193" t="s">
        <v>102</v>
      </c>
    </row>
    <row r="18" spans="1:12" ht="15.5" x14ac:dyDescent="0.35">
      <c r="A18" s="277"/>
      <c r="B18" s="181" t="s">
        <v>23</v>
      </c>
      <c r="C18" s="185" t="s">
        <v>102</v>
      </c>
      <c r="D18" s="186"/>
      <c r="E18" s="185" t="s">
        <v>102</v>
      </c>
      <c r="F18" s="193" t="s">
        <v>102</v>
      </c>
    </row>
    <row r="19" spans="1:12" ht="15.5" x14ac:dyDescent="0.35">
      <c r="A19" s="277"/>
      <c r="B19" s="181" t="s">
        <v>25</v>
      </c>
      <c r="C19" s="185" t="s">
        <v>102</v>
      </c>
      <c r="D19" s="186"/>
      <c r="E19" s="185" t="s">
        <v>102</v>
      </c>
      <c r="F19" s="193" t="s">
        <v>102</v>
      </c>
    </row>
    <row r="20" spans="1:12" ht="15.5" x14ac:dyDescent="0.35">
      <c r="A20" s="278"/>
      <c r="B20" s="181" t="s">
        <v>27</v>
      </c>
      <c r="C20" s="185" t="s">
        <v>102</v>
      </c>
      <c r="D20" s="186"/>
      <c r="E20" s="185" t="s">
        <v>102</v>
      </c>
      <c r="F20" s="193" t="s">
        <v>102</v>
      </c>
    </row>
    <row r="21" spans="1:12" ht="15.5" x14ac:dyDescent="0.35">
      <c r="A21" s="277" t="s">
        <v>73</v>
      </c>
      <c r="B21" s="194" t="s">
        <v>111</v>
      </c>
      <c r="C21" s="195" t="s">
        <v>103</v>
      </c>
      <c r="D21" s="186"/>
      <c r="E21" s="186"/>
      <c r="F21" s="187"/>
    </row>
    <row r="22" spans="1:12" ht="16" thickBot="1" x14ac:dyDescent="0.4">
      <c r="A22" s="280"/>
      <c r="B22" s="196" t="s">
        <v>112</v>
      </c>
      <c r="C22" s="197"/>
      <c r="D22" s="198"/>
      <c r="E22" s="198"/>
      <c r="F22" s="199" t="s">
        <v>103</v>
      </c>
    </row>
    <row r="23" spans="1:12" ht="15" thickBot="1" x14ac:dyDescent="0.4"/>
    <row r="24" spans="1:12" ht="15.5" x14ac:dyDescent="0.35">
      <c r="H24" s="269" t="s">
        <v>113</v>
      </c>
      <c r="I24" s="270"/>
      <c r="J24" s="270"/>
      <c r="K24" s="270"/>
      <c r="L24" s="271"/>
    </row>
    <row r="25" spans="1:12" ht="15.5" x14ac:dyDescent="0.35">
      <c r="H25" s="281" t="s">
        <v>114</v>
      </c>
      <c r="I25" s="282"/>
      <c r="J25" s="282"/>
      <c r="K25" s="282"/>
      <c r="L25" s="283"/>
    </row>
    <row r="26" spans="1:12" ht="15.5" x14ac:dyDescent="0.35">
      <c r="H26" s="167"/>
      <c r="I26" s="168"/>
      <c r="J26" s="168"/>
      <c r="K26" s="168"/>
      <c r="L26" s="169"/>
    </row>
    <row r="27" spans="1:12" ht="15.5" x14ac:dyDescent="0.35">
      <c r="H27" s="200"/>
      <c r="I27" s="284" t="s">
        <v>115</v>
      </c>
      <c r="J27" s="284"/>
      <c r="K27" s="284"/>
      <c r="L27" s="285"/>
    </row>
    <row r="28" spans="1:12" ht="16" thickBot="1" x14ac:dyDescent="0.4">
      <c r="H28" s="201" t="s">
        <v>116</v>
      </c>
      <c r="I28" s="202" t="s">
        <v>8</v>
      </c>
      <c r="J28" s="202" t="s">
        <v>117</v>
      </c>
      <c r="K28" s="202" t="s">
        <v>9</v>
      </c>
      <c r="L28" s="176" t="s">
        <v>7</v>
      </c>
    </row>
    <row r="29" spans="1:12" ht="15.5" x14ac:dyDescent="0.35">
      <c r="H29" s="203" t="s">
        <v>118</v>
      </c>
      <c r="I29" s="204" t="s">
        <v>119</v>
      </c>
      <c r="J29" s="204" t="s">
        <v>119</v>
      </c>
      <c r="K29" s="204" t="s">
        <v>119</v>
      </c>
      <c r="L29" s="205"/>
    </row>
    <row r="30" spans="1:12" ht="15.5" x14ac:dyDescent="0.35">
      <c r="H30" s="206" t="s">
        <v>120</v>
      </c>
      <c r="I30" s="189" t="s">
        <v>121</v>
      </c>
      <c r="J30" s="189" t="s">
        <v>121</v>
      </c>
      <c r="K30" s="189" t="s">
        <v>121</v>
      </c>
      <c r="L30" s="191"/>
    </row>
    <row r="31" spans="1:12" ht="15.5" x14ac:dyDescent="0.35">
      <c r="H31" s="206" t="s">
        <v>122</v>
      </c>
      <c r="I31" s="189"/>
      <c r="J31" s="189"/>
      <c r="K31" s="189"/>
      <c r="L31" s="191" t="s">
        <v>119</v>
      </c>
    </row>
    <row r="32" spans="1:12" ht="15.5" x14ac:dyDescent="0.35">
      <c r="H32" s="206" t="s">
        <v>123</v>
      </c>
      <c r="I32" s="189"/>
      <c r="J32" s="189"/>
      <c r="K32" s="189"/>
      <c r="L32" s="191" t="s">
        <v>121</v>
      </c>
    </row>
    <row r="33" spans="8:12" ht="15.5" x14ac:dyDescent="0.35">
      <c r="H33" s="207" t="s">
        <v>124</v>
      </c>
      <c r="I33" s="208" t="s">
        <v>121</v>
      </c>
      <c r="J33" s="208" t="s">
        <v>121</v>
      </c>
      <c r="K33" s="208" t="s">
        <v>121</v>
      </c>
      <c r="L33" s="209"/>
    </row>
    <row r="34" spans="8:12" ht="15.5" x14ac:dyDescent="0.35">
      <c r="H34" s="206" t="s">
        <v>125</v>
      </c>
      <c r="I34" s="189" t="s">
        <v>119</v>
      </c>
      <c r="J34" s="189" t="s">
        <v>119</v>
      </c>
      <c r="K34" s="189" t="s">
        <v>119</v>
      </c>
      <c r="L34" s="191"/>
    </row>
    <row r="35" spans="8:12" ht="15.5" x14ac:dyDescent="0.35">
      <c r="H35" s="206" t="s">
        <v>126</v>
      </c>
      <c r="I35" s="189" t="s">
        <v>119</v>
      </c>
      <c r="J35" s="189"/>
      <c r="K35" s="189"/>
      <c r="L35" s="191" t="s">
        <v>119</v>
      </c>
    </row>
    <row r="36" spans="8:12" ht="15.5" x14ac:dyDescent="0.35">
      <c r="H36" s="207" t="s">
        <v>127</v>
      </c>
      <c r="I36" s="208" t="s">
        <v>121</v>
      </c>
      <c r="J36" s="208"/>
      <c r="K36" s="208"/>
      <c r="L36" s="209"/>
    </row>
    <row r="37" spans="8:12" ht="15.5" x14ac:dyDescent="0.35">
      <c r="H37" s="206" t="s">
        <v>128</v>
      </c>
      <c r="I37" s="189"/>
      <c r="J37" s="189" t="s">
        <v>119</v>
      </c>
      <c r="K37" s="189" t="s">
        <v>119</v>
      </c>
      <c r="L37" s="191" t="s">
        <v>121</v>
      </c>
    </row>
    <row r="38" spans="8:12" ht="15.5" x14ac:dyDescent="0.35">
      <c r="H38" s="206" t="s">
        <v>129</v>
      </c>
      <c r="I38" s="189" t="s">
        <v>119</v>
      </c>
      <c r="J38" s="189" t="s">
        <v>119</v>
      </c>
      <c r="K38" s="189" t="s">
        <v>119</v>
      </c>
      <c r="L38" s="191"/>
    </row>
    <row r="39" spans="8:12" ht="15.5" x14ac:dyDescent="0.35">
      <c r="H39" s="207" t="s">
        <v>130</v>
      </c>
      <c r="I39" s="208" t="s">
        <v>121</v>
      </c>
      <c r="J39" s="208" t="s">
        <v>121</v>
      </c>
      <c r="K39" s="208" t="s">
        <v>121</v>
      </c>
      <c r="L39" s="209"/>
    </row>
    <row r="40" spans="8:12" ht="15.5" x14ac:dyDescent="0.35">
      <c r="H40" s="207" t="s">
        <v>131</v>
      </c>
      <c r="I40" s="208" t="s">
        <v>121</v>
      </c>
      <c r="J40" s="208"/>
      <c r="K40" s="208"/>
      <c r="L40" s="209" t="s">
        <v>121</v>
      </c>
    </row>
    <row r="41" spans="8:12" ht="15.5" x14ac:dyDescent="0.35">
      <c r="H41" s="206" t="s">
        <v>132</v>
      </c>
      <c r="I41" s="189"/>
      <c r="J41" s="189"/>
      <c r="K41" s="189" t="s">
        <v>121</v>
      </c>
      <c r="L41" s="191"/>
    </row>
    <row r="42" spans="8:12" ht="15.5" x14ac:dyDescent="0.35">
      <c r="H42" s="206" t="s">
        <v>133</v>
      </c>
      <c r="I42" s="189"/>
      <c r="J42" s="189"/>
      <c r="K42" s="189" t="s">
        <v>119</v>
      </c>
      <c r="L42" s="191"/>
    </row>
    <row r="43" spans="8:12" ht="15.5" x14ac:dyDescent="0.35">
      <c r="H43" s="206" t="s">
        <v>134</v>
      </c>
      <c r="I43" s="189" t="s">
        <v>121</v>
      </c>
      <c r="J43" s="189"/>
      <c r="K43" s="189"/>
      <c r="L43" s="191" t="s">
        <v>121</v>
      </c>
    </row>
    <row r="44" spans="8:12" ht="15.5" x14ac:dyDescent="0.35">
      <c r="H44" s="207" t="s">
        <v>135</v>
      </c>
      <c r="I44" s="208" t="s">
        <v>119</v>
      </c>
      <c r="J44" s="208"/>
      <c r="K44" s="208"/>
      <c r="L44" s="209" t="s">
        <v>119</v>
      </c>
    </row>
    <row r="45" spans="8:12" ht="15.5" x14ac:dyDescent="0.35">
      <c r="H45" s="207" t="s">
        <v>136</v>
      </c>
      <c r="I45" s="208" t="s">
        <v>119</v>
      </c>
      <c r="J45" s="208"/>
      <c r="K45" s="208"/>
      <c r="L45" s="209" t="s">
        <v>119</v>
      </c>
    </row>
    <row r="46" spans="8:12" ht="15.5" x14ac:dyDescent="0.35">
      <c r="H46" s="286" t="s">
        <v>137</v>
      </c>
      <c r="I46" s="287"/>
      <c r="J46" s="287"/>
      <c r="K46" s="287"/>
      <c r="L46" s="288"/>
    </row>
    <row r="47" spans="8:12" ht="81" customHeight="1" thickBot="1" x14ac:dyDescent="0.4">
      <c r="H47" s="289" t="s">
        <v>138</v>
      </c>
      <c r="I47" s="290"/>
      <c r="J47" s="290"/>
      <c r="K47" s="290"/>
      <c r="L47" s="291"/>
    </row>
    <row r="48" spans="8:12" ht="15" thickBot="1" x14ac:dyDescent="0.4"/>
    <row r="49" spans="14:17" ht="15.5" x14ac:dyDescent="0.35">
      <c r="N49" s="292" t="s">
        <v>139</v>
      </c>
      <c r="O49" s="293"/>
      <c r="P49" s="293"/>
      <c r="Q49" s="294"/>
    </row>
    <row r="50" spans="14:17" ht="15.5" x14ac:dyDescent="0.35">
      <c r="N50" s="210"/>
      <c r="O50" s="211"/>
      <c r="P50" s="211"/>
      <c r="Q50" s="212"/>
    </row>
    <row r="51" spans="14:17" ht="78" thickBot="1" x14ac:dyDescent="0.4">
      <c r="N51" s="213" t="s">
        <v>140</v>
      </c>
      <c r="O51" s="214" t="s">
        <v>141</v>
      </c>
      <c r="P51" s="214" t="s">
        <v>142</v>
      </c>
      <c r="Q51" s="215" t="s">
        <v>143</v>
      </c>
    </row>
    <row r="52" spans="14:17" ht="170.5" x14ac:dyDescent="0.35">
      <c r="N52" s="216" t="s">
        <v>144</v>
      </c>
      <c r="O52" s="217" t="s">
        <v>7</v>
      </c>
      <c r="P52" s="218" t="s">
        <v>145</v>
      </c>
      <c r="Q52" s="219" t="s">
        <v>146</v>
      </c>
    </row>
    <row r="53" spans="14:17" ht="155" x14ac:dyDescent="0.35">
      <c r="N53" s="220" t="s">
        <v>147</v>
      </c>
      <c r="O53" s="221" t="s">
        <v>117</v>
      </c>
      <c r="P53" s="222" t="s">
        <v>148</v>
      </c>
      <c r="Q53" s="223" t="s">
        <v>149</v>
      </c>
    </row>
    <row r="54" spans="14:17" ht="217" x14ac:dyDescent="0.35">
      <c r="N54" s="220" t="s">
        <v>150</v>
      </c>
      <c r="O54" s="221" t="s">
        <v>9</v>
      </c>
      <c r="P54" s="222" t="s">
        <v>151</v>
      </c>
      <c r="Q54" s="223" t="s">
        <v>152</v>
      </c>
    </row>
    <row r="55" spans="14:17" ht="170.5" x14ac:dyDescent="0.35">
      <c r="N55" s="220" t="s">
        <v>153</v>
      </c>
      <c r="O55" s="221" t="s">
        <v>8</v>
      </c>
      <c r="P55" s="222" t="s">
        <v>154</v>
      </c>
      <c r="Q55" s="223" t="s">
        <v>155</v>
      </c>
    </row>
    <row r="56" spans="14:17" ht="217" x14ac:dyDescent="0.35">
      <c r="N56" s="220" t="s">
        <v>156</v>
      </c>
      <c r="O56" s="221" t="s">
        <v>6</v>
      </c>
      <c r="P56" s="222" t="s">
        <v>157</v>
      </c>
      <c r="Q56" s="223" t="s">
        <v>158</v>
      </c>
    </row>
    <row r="57" spans="14:17" ht="16" thickBot="1" x14ac:dyDescent="0.4">
      <c r="N57" s="266" t="s">
        <v>159</v>
      </c>
      <c r="O57" s="267"/>
      <c r="P57" s="267"/>
      <c r="Q57" s="268"/>
    </row>
  </sheetData>
  <mergeCells count="13">
    <mergeCell ref="N57:Q57"/>
    <mergeCell ref="A3:F3"/>
    <mergeCell ref="C5:F5"/>
    <mergeCell ref="A6:B6"/>
    <mergeCell ref="A7:A12"/>
    <mergeCell ref="A15:A20"/>
    <mergeCell ref="A21:A22"/>
    <mergeCell ref="H24:L24"/>
    <mergeCell ref="H25:L25"/>
    <mergeCell ref="I27:L27"/>
    <mergeCell ref="H46:L46"/>
    <mergeCell ref="H47:L47"/>
    <mergeCell ref="N49:Q4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5"/>
  <sheetViews>
    <sheetView showGridLines="0" zoomScale="85" zoomScaleNormal="85" workbookViewId="0"/>
  </sheetViews>
  <sheetFormatPr defaultRowHeight="14.5" x14ac:dyDescent="0.35"/>
  <cols>
    <col min="2" max="2" width="33.453125" customWidth="1"/>
    <col min="3" max="3" width="15.36328125" bestFit="1" customWidth="1"/>
    <col min="4" max="4" width="14.54296875" customWidth="1"/>
    <col min="5" max="5" width="13.54296875" style="17" bestFit="1" customWidth="1"/>
    <col min="6" max="6" width="10.453125" bestFit="1" customWidth="1"/>
    <col min="7" max="7" width="10.453125" style="17" bestFit="1" customWidth="1"/>
    <col min="8" max="8" width="5.453125" customWidth="1"/>
    <col min="9" max="9" width="32.6328125" customWidth="1"/>
    <col min="10" max="10" width="11.54296875" customWidth="1"/>
    <col min="11" max="11" width="11.6328125" customWidth="1"/>
    <col min="12" max="12" width="11.6328125" style="17" customWidth="1"/>
    <col min="13" max="13" width="13.36328125" customWidth="1"/>
    <col min="14" max="14" width="14.453125" customWidth="1"/>
    <col min="15" max="16" width="13.36328125" customWidth="1"/>
    <col min="17" max="17" width="11.90625" customWidth="1"/>
    <col min="18" max="18" width="10.54296875" bestFit="1" customWidth="1"/>
    <col min="19" max="26" width="9.453125" customWidth="1"/>
  </cols>
  <sheetData>
    <row r="1" spans="2:27" s="17" customFormat="1" ht="15" thickBot="1" x14ac:dyDescent="0.4">
      <c r="B1" s="40" t="s">
        <v>171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2:27" ht="15.5" x14ac:dyDescent="0.35">
      <c r="B2" s="269" t="s">
        <v>42</v>
      </c>
      <c r="C2" s="270"/>
      <c r="D2" s="270"/>
      <c r="E2" s="270"/>
      <c r="F2" s="270"/>
      <c r="G2" s="271"/>
      <c r="P2" s="297"/>
      <c r="Q2" s="295"/>
      <c r="R2" s="296"/>
      <c r="S2" s="296"/>
      <c r="T2" s="296"/>
      <c r="U2" s="296"/>
      <c r="V2" s="296"/>
      <c r="W2" s="296"/>
      <c r="X2" s="296"/>
      <c r="Y2" s="296"/>
      <c r="Z2" s="296"/>
      <c r="AA2" s="47"/>
    </row>
    <row r="3" spans="2:27" ht="15.5" x14ac:dyDescent="0.35">
      <c r="B3" s="298" t="s">
        <v>47</v>
      </c>
      <c r="C3" s="299"/>
      <c r="D3" s="299"/>
      <c r="E3" s="299"/>
      <c r="F3" s="299"/>
      <c r="G3" s="300"/>
      <c r="P3" s="297"/>
      <c r="Q3" s="295"/>
      <c r="R3" s="297"/>
      <c r="S3" s="297"/>
      <c r="T3" s="297"/>
      <c r="U3" s="297"/>
      <c r="V3" s="297"/>
      <c r="W3" s="297"/>
      <c r="X3" s="297"/>
      <c r="Y3" s="297"/>
      <c r="Z3" s="251"/>
      <c r="AA3" s="47"/>
    </row>
    <row r="4" spans="2:27" x14ac:dyDescent="0.35">
      <c r="B4" s="153"/>
      <c r="C4" s="143"/>
      <c r="D4" s="47"/>
      <c r="E4" s="47"/>
      <c r="F4" s="47"/>
      <c r="G4" s="48"/>
      <c r="P4" s="297"/>
      <c r="Q4" s="295"/>
      <c r="R4" s="251"/>
      <c r="S4" s="251"/>
      <c r="T4" s="251"/>
      <c r="U4" s="251"/>
      <c r="V4" s="251"/>
      <c r="W4" s="251"/>
      <c r="X4" s="251"/>
      <c r="Y4" s="251"/>
      <c r="Z4" s="251"/>
      <c r="AA4" s="47"/>
    </row>
    <row r="5" spans="2:27" x14ac:dyDescent="0.35">
      <c r="B5" s="57"/>
      <c r="C5" s="88" t="s">
        <v>51</v>
      </c>
      <c r="D5" s="88" t="s">
        <v>48</v>
      </c>
      <c r="E5" s="301" t="s">
        <v>61</v>
      </c>
      <c r="F5" s="301"/>
      <c r="G5" s="302"/>
      <c r="P5" s="252"/>
      <c r="Q5" s="253"/>
      <c r="R5" s="254"/>
      <c r="S5" s="255"/>
      <c r="T5" s="254"/>
      <c r="U5" s="255"/>
      <c r="V5" s="254"/>
      <c r="W5" s="255"/>
      <c r="X5" s="254"/>
      <c r="Y5" s="255"/>
      <c r="Z5" s="256"/>
      <c r="AA5" s="47"/>
    </row>
    <row r="6" spans="2:27" ht="29" x14ac:dyDescent="0.35">
      <c r="B6" s="139" t="s">
        <v>49</v>
      </c>
      <c r="C6" s="140" t="s">
        <v>76</v>
      </c>
      <c r="D6" s="140" t="s">
        <v>76</v>
      </c>
      <c r="E6" s="72" t="s">
        <v>77</v>
      </c>
      <c r="F6" s="73" t="s">
        <v>78</v>
      </c>
      <c r="G6" s="74" t="s">
        <v>79</v>
      </c>
      <c r="P6" s="252"/>
      <c r="Q6" s="253"/>
      <c r="R6" s="254"/>
      <c r="S6" s="255"/>
      <c r="T6" s="254"/>
      <c r="U6" s="255"/>
      <c r="V6" s="254"/>
      <c r="W6" s="255"/>
      <c r="X6" s="254"/>
      <c r="Y6" s="255"/>
      <c r="Z6" s="256"/>
      <c r="AA6" s="47"/>
    </row>
    <row r="7" spans="2:27" ht="15.5" x14ac:dyDescent="0.35">
      <c r="B7" s="114" t="s">
        <v>45</v>
      </c>
      <c r="C7" s="141"/>
      <c r="D7" s="141"/>
      <c r="E7" s="63"/>
      <c r="F7" s="142"/>
      <c r="G7" s="159"/>
      <c r="P7" s="252"/>
      <c r="Q7" s="253"/>
      <c r="R7" s="254"/>
      <c r="S7" s="255"/>
      <c r="T7" s="254"/>
      <c r="U7" s="255"/>
      <c r="V7" s="254"/>
      <c r="W7" s="255"/>
      <c r="X7" s="254"/>
      <c r="Y7" s="255"/>
      <c r="Z7" s="256"/>
      <c r="AA7" s="47"/>
    </row>
    <row r="8" spans="2:27" ht="15.5" x14ac:dyDescent="0.35">
      <c r="B8" s="58" t="s">
        <v>33</v>
      </c>
      <c r="C8" s="84">
        <f>SUM('[1]Additional Information'!$AJ$47)</f>
        <v>54090.481500000016</v>
      </c>
      <c r="D8" s="84">
        <f>'[1]Additional Information'!$AJ$46</f>
        <v>28960.789197537684</v>
      </c>
      <c r="E8" s="43">
        <f>C8-D8</f>
        <v>25129.692302462332</v>
      </c>
      <c r="F8" s="81">
        <f>'[1]Additional Information'!$AJ$50</f>
        <v>156.8545469828677</v>
      </c>
      <c r="G8" s="160">
        <f>'[1]Additional Information'!$AJ$53</f>
        <v>76.319830082866645</v>
      </c>
      <c r="P8" s="252"/>
      <c r="Q8" s="253"/>
      <c r="R8" s="254"/>
      <c r="S8" s="255"/>
      <c r="T8" s="254"/>
      <c r="U8" s="255"/>
      <c r="V8" s="254"/>
      <c r="W8" s="255"/>
      <c r="X8" s="254"/>
      <c r="Y8" s="255"/>
      <c r="Z8" s="256"/>
      <c r="AA8" s="47"/>
    </row>
    <row r="9" spans="2:27" ht="15.5" x14ac:dyDescent="0.35">
      <c r="B9" s="58" t="s">
        <v>32</v>
      </c>
      <c r="C9" s="84">
        <f>'[1]Additional Information'!$AJ$61</f>
        <v>3656.9094691388709</v>
      </c>
      <c r="D9" s="84">
        <f>'[1]Additional Information'!$AJ$60</f>
        <v>994.25759450282374</v>
      </c>
      <c r="E9" s="43">
        <f t="shared" ref="E9" si="0">C9-D9</f>
        <v>2662.6518746360471</v>
      </c>
      <c r="F9" s="81">
        <f>'[1]Additional Information'!$AJ$64</f>
        <v>0.18475103693773154</v>
      </c>
      <c r="G9" s="160">
        <f>'[1]Additional Information'!$AJ$67</f>
        <v>0.41761518667749919</v>
      </c>
      <c r="P9" s="252"/>
      <c r="Q9" s="253"/>
      <c r="R9" s="254"/>
      <c r="S9" s="255"/>
      <c r="T9" s="254"/>
      <c r="U9" s="255"/>
      <c r="V9" s="254"/>
      <c r="W9" s="255"/>
      <c r="X9" s="254"/>
      <c r="Y9" s="255"/>
      <c r="Z9" s="256"/>
      <c r="AA9" s="47"/>
    </row>
    <row r="10" spans="2:27" ht="15.5" x14ac:dyDescent="0.35">
      <c r="B10" s="58" t="s">
        <v>169</v>
      </c>
      <c r="C10" s="84"/>
      <c r="D10" s="84"/>
      <c r="E10" s="43"/>
      <c r="F10" s="81"/>
      <c r="G10" s="160"/>
      <c r="P10" s="252"/>
      <c r="Q10" s="253"/>
      <c r="R10" s="254"/>
      <c r="S10" s="255"/>
      <c r="T10" s="254"/>
      <c r="U10" s="255"/>
      <c r="V10" s="254"/>
      <c r="W10" s="255"/>
      <c r="X10" s="254"/>
      <c r="Y10" s="255"/>
      <c r="Z10" s="256"/>
      <c r="AA10" s="47"/>
    </row>
    <row r="11" spans="2:27" ht="15.5" x14ac:dyDescent="0.35">
      <c r="B11" s="58" t="s">
        <v>30</v>
      </c>
      <c r="C11" s="84">
        <f>'[1]Additional Information'!$AJ$19</f>
        <v>28924.726256311667</v>
      </c>
      <c r="D11" s="84">
        <f>'[1]Additional Information'!$AJ$18</f>
        <v>14905.8995930193</v>
      </c>
      <c r="E11" s="43">
        <f t="shared" ref="E11:E13" si="1">C11-D11</f>
        <v>14018.826663292368</v>
      </c>
      <c r="F11" s="81">
        <f>'[1]Additional Information'!$AJ$22</f>
        <v>12.82723766384472</v>
      </c>
      <c r="G11" s="160">
        <f>'[1]Additional Information'!$AJ$25</f>
        <v>2.0011649244515945E-2</v>
      </c>
      <c r="P11" s="252"/>
      <c r="Q11" s="253"/>
      <c r="R11" s="254"/>
      <c r="S11" s="255"/>
      <c r="T11" s="254"/>
      <c r="U11" s="255"/>
      <c r="V11" s="254"/>
      <c r="W11" s="255"/>
      <c r="X11" s="254"/>
      <c r="Y11" s="255"/>
      <c r="Z11" s="256"/>
      <c r="AA11" s="47"/>
    </row>
    <row r="12" spans="2:27" ht="15.5" x14ac:dyDescent="0.35">
      <c r="B12" s="58" t="s">
        <v>95</v>
      </c>
      <c r="C12" s="84">
        <f>'[1]Additional Information'!$AJ$33</f>
        <v>6137.9547022778206</v>
      </c>
      <c r="D12" s="84">
        <f>'[1]Additional Information'!$AJ$32</f>
        <v>2035.4665079964066</v>
      </c>
      <c r="E12" s="43">
        <f t="shared" si="1"/>
        <v>4102.4881942814136</v>
      </c>
      <c r="F12" s="81">
        <f>'[1]Additional Information'!$AJ$36</f>
        <v>17.955269098699304</v>
      </c>
      <c r="G12" s="160">
        <f>'[1]Additional Information'!$AJ$39</f>
        <v>8.8165365419744628</v>
      </c>
      <c r="P12" s="252"/>
      <c r="Q12" s="257"/>
      <c r="R12" s="254"/>
      <c r="S12" s="255"/>
      <c r="T12" s="254"/>
      <c r="U12" s="255"/>
      <c r="V12" s="254"/>
      <c r="W12" s="255"/>
      <c r="X12" s="254"/>
      <c r="Y12" s="255"/>
      <c r="Z12" s="256"/>
      <c r="AA12" s="47"/>
    </row>
    <row r="13" spans="2:27" ht="15.5" x14ac:dyDescent="0.35">
      <c r="B13" s="58" t="s">
        <v>91</v>
      </c>
      <c r="C13" s="84">
        <f>'[1]Additional Information'!$AJ$75</f>
        <v>17205.869950012213</v>
      </c>
      <c r="D13" s="84">
        <f>'[1]Additional Information'!$AJ$74</f>
        <v>5173.9901819945899</v>
      </c>
      <c r="E13" s="43">
        <f t="shared" si="1"/>
        <v>12031.879768017623</v>
      </c>
      <c r="F13" s="82">
        <f>'[1]Additional Information'!$AJ$78</f>
        <v>3.0488598623864149</v>
      </c>
      <c r="G13" s="160">
        <f>'[1]Additional Information'!$AJ$81</f>
        <v>2.3048437195467448</v>
      </c>
      <c r="P13" s="252"/>
      <c r="Q13" s="257"/>
      <c r="R13" s="254"/>
      <c r="S13" s="255"/>
      <c r="T13" s="254"/>
      <c r="U13" s="255"/>
      <c r="V13" s="254"/>
      <c r="W13" s="255"/>
      <c r="X13" s="254"/>
      <c r="Y13" s="255"/>
      <c r="Z13" s="256"/>
      <c r="AA13" s="47"/>
    </row>
    <row r="14" spans="2:27" ht="15.5" x14ac:dyDescent="0.35">
      <c r="B14" s="71" t="s">
        <v>34</v>
      </c>
      <c r="C14" s="69">
        <f t="shared" ref="C14:G14" si="2">SUM(C8:C13)</f>
        <v>110015.94187774058</v>
      </c>
      <c r="D14" s="69">
        <f t="shared" si="2"/>
        <v>52070.403075050795</v>
      </c>
      <c r="E14" s="69">
        <f t="shared" si="2"/>
        <v>57945.538802689785</v>
      </c>
      <c r="F14" s="83">
        <f t="shared" si="2"/>
        <v>190.87066464473591</v>
      </c>
      <c r="G14" s="161">
        <f t="shared" si="2"/>
        <v>87.878837180309844</v>
      </c>
      <c r="P14" s="258"/>
      <c r="Q14" s="259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2:27" ht="15.5" x14ac:dyDescent="0.35">
      <c r="B15" s="59"/>
      <c r="C15" s="55"/>
      <c r="D15" s="55"/>
      <c r="E15" s="55"/>
      <c r="F15" s="77"/>
      <c r="G15" s="162"/>
      <c r="P15" s="42"/>
      <c r="Q15" s="259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2:27" s="17" customFormat="1" ht="15.5" x14ac:dyDescent="0.35">
      <c r="B16" s="64" t="s">
        <v>80</v>
      </c>
      <c r="C16" s="55"/>
      <c r="D16" s="55"/>
      <c r="E16" s="55"/>
      <c r="F16" s="92"/>
      <c r="G16" s="162"/>
      <c r="P16" s="42"/>
      <c r="Q16" s="259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2:27" s="17" customFormat="1" ht="15.5" x14ac:dyDescent="0.35">
      <c r="B17" s="59" t="s">
        <v>35</v>
      </c>
      <c r="C17" s="117">
        <f>SUM([2]AnnualQtys!$C$6:$AJ$6)</f>
        <v>2711021.5901951203</v>
      </c>
      <c r="D17" s="117">
        <f>SUM([2]AnnualQtys!$C$5:$AJ$5)</f>
        <v>1037352.755976253</v>
      </c>
      <c r="E17" s="118">
        <f t="shared" ref="E17:E18" si="3">C17-D17</f>
        <v>1673668.8342188674</v>
      </c>
      <c r="F17" s="119">
        <f>SUM([2]AnnualQtys!$C$9:$AJ$9)</f>
        <v>217.18081463395421</v>
      </c>
      <c r="G17" s="163">
        <f>SUM([2]AnnualQtys!$C$12:$AJ$12)</f>
        <v>455.46634305969303</v>
      </c>
      <c r="I17" s="145"/>
      <c r="J17" s="145"/>
      <c r="P17" s="42"/>
      <c r="Q17" s="259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2:27" s="17" customFormat="1" ht="15.5" x14ac:dyDescent="0.35">
      <c r="B18" s="59" t="s">
        <v>36</v>
      </c>
      <c r="C18" s="117">
        <f>SUM([2]AnnualQtys!$C$21:$AJ$21)</f>
        <v>829049.75191129826</v>
      </c>
      <c r="D18" s="117">
        <f>SUM([2]AnnualQtys!$C$20:$AJ$20)</f>
        <v>496990.11907430016</v>
      </c>
      <c r="E18" s="118">
        <f t="shared" si="3"/>
        <v>332059.63283699809</v>
      </c>
      <c r="F18" s="119">
        <f>SUM([2]AnnualQtys!$C$24:$AJ$24)</f>
        <v>43.986148261307413</v>
      </c>
      <c r="G18" s="163">
        <f>SUM([2]AnnualQtys!$C$27:$AJ$27)</f>
        <v>116.85520127486073</v>
      </c>
      <c r="I18" s="145"/>
      <c r="J18" s="145"/>
      <c r="P18" s="42"/>
      <c r="Q18" s="39"/>
    </row>
    <row r="19" spans="2:27" ht="15.5" x14ac:dyDescent="0.35">
      <c r="B19" s="115" t="s">
        <v>84</v>
      </c>
      <c r="C19" s="116">
        <f>C17-C18</f>
        <v>1881971.8382838219</v>
      </c>
      <c r="D19" s="116">
        <f t="shared" ref="D19:G19" si="4">D17-D18</f>
        <v>540362.63690195279</v>
      </c>
      <c r="E19" s="116">
        <f t="shared" si="4"/>
        <v>1341609.2013818691</v>
      </c>
      <c r="F19" s="120">
        <f t="shared" si="4"/>
        <v>173.19466637264679</v>
      </c>
      <c r="G19" s="164">
        <f t="shared" si="4"/>
        <v>338.61114178483228</v>
      </c>
    </row>
    <row r="20" spans="2:27" ht="16" thickBot="1" x14ac:dyDescent="0.4">
      <c r="B20" s="75" t="s">
        <v>11</v>
      </c>
      <c r="C20" s="76">
        <f>C14+C19</f>
        <v>1991987.7801615626</v>
      </c>
      <c r="D20" s="76">
        <f t="shared" ref="D20:G20" si="5">D14+D19</f>
        <v>592433.03997700359</v>
      </c>
      <c r="E20" s="76">
        <f t="shared" si="5"/>
        <v>1399554.740184559</v>
      </c>
      <c r="F20" s="78">
        <f t="shared" si="5"/>
        <v>364.06533101738273</v>
      </c>
      <c r="G20" s="79">
        <f t="shared" si="5"/>
        <v>426.48997896514214</v>
      </c>
    </row>
    <row r="21" spans="2:27" ht="15.5" x14ac:dyDescent="0.35">
      <c r="B21" s="90" t="s">
        <v>172</v>
      </c>
      <c r="C21" s="91"/>
      <c r="D21" s="91"/>
      <c r="E21" s="91"/>
      <c r="F21" s="92"/>
      <c r="G21" s="92"/>
    </row>
    <row r="22" spans="2:27" ht="15.5" x14ac:dyDescent="0.35">
      <c r="B22" s="90" t="s">
        <v>173</v>
      </c>
      <c r="C22" s="91"/>
      <c r="D22" s="91"/>
      <c r="E22" s="91"/>
      <c r="F22" s="92"/>
      <c r="G22" s="92"/>
    </row>
    <row r="23" spans="2:27" ht="15.5" x14ac:dyDescent="0.35">
      <c r="B23" s="250" t="s">
        <v>170</v>
      </c>
      <c r="C23" s="17"/>
      <c r="D23" s="17"/>
      <c r="F23" s="17"/>
    </row>
    <row r="25" spans="2:27" ht="15.5" x14ac:dyDescent="0.35">
      <c r="B25" s="58" t="s">
        <v>169</v>
      </c>
      <c r="C25" s="84">
        <f>'[1]Additional Information'!$AJ$89</f>
        <v>75035.91769892539</v>
      </c>
      <c r="D25" s="84">
        <f>'[1]Additional Information'!$AJ$88</f>
        <v>33689.833667516592</v>
      </c>
      <c r="E25" s="43">
        <f t="shared" ref="E25" si="6">C25-D25</f>
        <v>41346.084031408798</v>
      </c>
      <c r="F25" s="81">
        <f>'[1]Additional Information'!$AJ$92</f>
        <v>5.3899514380280173</v>
      </c>
      <c r="G25" s="80">
        <f>'[1]Additional Information'!$AJ$95</f>
        <v>11.985241333344446</v>
      </c>
    </row>
    <row r="28" spans="2:27" ht="15" thickBot="1" x14ac:dyDescent="0.4">
      <c r="I28" s="40" t="s">
        <v>85</v>
      </c>
      <c r="J28" s="17"/>
      <c r="K28" s="17"/>
      <c r="M28" s="47"/>
      <c r="N28" s="47"/>
    </row>
    <row r="29" spans="2:27" ht="15.5" x14ac:dyDescent="0.35">
      <c r="I29" s="269" t="s">
        <v>174</v>
      </c>
      <c r="J29" s="270"/>
      <c r="K29" s="270"/>
      <c r="L29" s="270"/>
      <c r="M29" s="270"/>
      <c r="N29" s="270"/>
      <c r="O29" s="270"/>
      <c r="P29" s="271"/>
    </row>
    <row r="30" spans="2:27" x14ac:dyDescent="0.35">
      <c r="I30" s="307"/>
      <c r="J30" s="308"/>
      <c r="K30" s="308"/>
      <c r="L30" s="308"/>
      <c r="M30" s="308"/>
      <c r="N30" s="308"/>
      <c r="O30" s="308"/>
      <c r="P30" s="309"/>
    </row>
    <row r="31" spans="2:27" x14ac:dyDescent="0.35">
      <c r="I31" s="303" t="s">
        <v>28</v>
      </c>
      <c r="J31" s="305" t="s">
        <v>46</v>
      </c>
      <c r="K31" s="305" t="s">
        <v>50</v>
      </c>
      <c r="L31" s="154"/>
      <c r="M31" s="315" t="s">
        <v>72</v>
      </c>
      <c r="N31" s="316"/>
      <c r="O31" s="313" t="s">
        <v>87</v>
      </c>
      <c r="P31" s="314"/>
    </row>
    <row r="32" spans="2:27" ht="43.5" x14ac:dyDescent="0.35">
      <c r="I32" s="304"/>
      <c r="J32" s="306"/>
      <c r="K32" s="306"/>
      <c r="L32" s="155" t="s">
        <v>64</v>
      </c>
      <c r="M32" s="156" t="s">
        <v>55</v>
      </c>
      <c r="N32" s="156" t="s">
        <v>63</v>
      </c>
      <c r="O32" s="157" t="s">
        <v>55</v>
      </c>
      <c r="P32" s="158" t="s">
        <v>63</v>
      </c>
    </row>
    <row r="33" spans="9:21" ht="15.5" x14ac:dyDescent="0.35">
      <c r="I33" s="114" t="s">
        <v>45</v>
      </c>
      <c r="J33" s="62"/>
      <c r="K33" s="54"/>
      <c r="L33" s="54"/>
      <c r="M33" s="87"/>
      <c r="N33" s="85"/>
      <c r="O33" s="105"/>
      <c r="P33" s="121"/>
    </row>
    <row r="34" spans="9:21" ht="15.5" x14ac:dyDescent="0.35">
      <c r="I34" s="58" t="s">
        <v>33</v>
      </c>
      <c r="J34" s="41">
        <f>SUM('[3]Program Adoption'!$J$2:$J$5)</f>
        <v>90</v>
      </c>
      <c r="K34" s="41" t="s">
        <v>71</v>
      </c>
      <c r="L34" s="60" t="s">
        <v>66</v>
      </c>
      <c r="M34" s="84">
        <f>'[1]Additional Information'!$AJ$45/1000</f>
        <v>6010.0535000000027</v>
      </c>
      <c r="N34" s="84">
        <f>'[1]Additional Information'!$AJ$49/1000</f>
        <v>89087.086842105302</v>
      </c>
      <c r="O34" s="131">
        <f>'[1]Additional Information'!$J$45/1000</f>
        <v>280.95509999999996</v>
      </c>
      <c r="P34" s="122">
        <f>'[1]Additional Information'!$J$49/1000</f>
        <v>4164.3810526315801</v>
      </c>
    </row>
    <row r="35" spans="9:21" ht="15.5" x14ac:dyDescent="0.35">
      <c r="I35" s="58" t="s">
        <v>32</v>
      </c>
      <c r="J35" s="41">
        <f>SUM('[3]Program Adoption'!$J$14:$J$16)</f>
        <v>120</v>
      </c>
      <c r="K35" s="60" t="s">
        <v>43</v>
      </c>
      <c r="L35" s="60" t="s">
        <v>65</v>
      </c>
      <c r="M35" s="84">
        <f>'[1]Additional Information'!$AJ$59/1000</f>
        <v>406.32327434876356</v>
      </c>
      <c r="N35" s="84">
        <f>'[1]Additional Information'!$AJ$63/1000</f>
        <v>4227.3684210526098</v>
      </c>
      <c r="O35" s="131">
        <f>'[1]Additional Information'!$J$59/1000</f>
        <v>22.751320327405121</v>
      </c>
      <c r="P35" s="122">
        <f>'[1]Additional Information'!$J$63/1000</f>
        <v>211.36842105263051</v>
      </c>
    </row>
    <row r="36" spans="9:21" ht="15.5" x14ac:dyDescent="0.35">
      <c r="I36" s="58" t="s">
        <v>82</v>
      </c>
      <c r="J36" s="41">
        <f>SUM('[3]Program Adoption'!$J$23:$J$24)</f>
        <v>1500</v>
      </c>
      <c r="K36" s="60" t="s">
        <v>43</v>
      </c>
      <c r="L36" s="60" t="s">
        <v>67</v>
      </c>
      <c r="M36" s="84"/>
      <c r="N36" s="84"/>
      <c r="O36" s="131"/>
      <c r="P36" s="122"/>
    </row>
    <row r="37" spans="9:21" ht="15.5" x14ac:dyDescent="0.35">
      <c r="I37" s="58" t="s">
        <v>30</v>
      </c>
      <c r="J37" s="41">
        <f>SUM('[3]Program Adoption'!$J$17)</f>
        <v>90</v>
      </c>
      <c r="K37" s="60" t="s">
        <v>44</v>
      </c>
      <c r="L37" s="60" t="s">
        <v>68</v>
      </c>
      <c r="M37" s="84">
        <f>'[1]Additional Information'!$AJ$17/1000</f>
        <v>3213.8584729235204</v>
      </c>
      <c r="N37" s="84">
        <f>'[1]Additional Information'!$AJ$21/1000</f>
        <v>47138.021052631368</v>
      </c>
      <c r="O37" s="131">
        <f>'[1]Additional Information'!$J$17/1000</f>
        <v>202.85001781261101</v>
      </c>
      <c r="P37" s="122">
        <f>'[1]Additional Information'!$J$21/1000</f>
        <v>2946.12631578946</v>
      </c>
    </row>
    <row r="38" spans="9:21" ht="15.5" x14ac:dyDescent="0.35">
      <c r="I38" s="58" t="s">
        <v>95</v>
      </c>
      <c r="J38" s="41">
        <f>SUM('[3]Program Adoption'!$J$18:$J$19)</f>
        <v>13</v>
      </c>
      <c r="K38" s="60" t="s">
        <v>44</v>
      </c>
      <c r="L38" s="60" t="s">
        <v>69</v>
      </c>
      <c r="M38" s="84">
        <f>'[1]Additional Information'!$AJ$31/1000</f>
        <v>681.9949669197598</v>
      </c>
      <c r="N38" s="84">
        <f>'[1]Additional Information'!$AJ$35/1000</f>
        <v>6185.9287989474278</v>
      </c>
      <c r="O38" s="84">
        <f>'[1]Additional Information'!$J$31/1000</f>
        <v>37.88860927332</v>
      </c>
      <c r="P38" s="122">
        <f>'[1]Additional Information'!$J$35/1000</f>
        <v>343.66271105263496</v>
      </c>
    </row>
    <row r="39" spans="9:21" ht="15.5" x14ac:dyDescent="0.35">
      <c r="I39" s="58" t="s">
        <v>91</v>
      </c>
      <c r="J39" s="41">
        <f>SUM('[3]Program Adoption'!$J$20:$J$21)</f>
        <v>58</v>
      </c>
      <c r="K39" s="60" t="s">
        <v>92</v>
      </c>
      <c r="L39" s="60" t="s">
        <v>65</v>
      </c>
      <c r="M39" s="84">
        <f>'[1]Additional Information'!$AJ$73/1000</f>
        <v>1911.7633277791344</v>
      </c>
      <c r="N39" s="84">
        <f>'[1]Additional Information'!$AJ$77/1000</f>
        <v>19711.69052631556</v>
      </c>
      <c r="O39" s="84">
        <f>'[1]Additional Information'!$J$73/1000</f>
        <v>114.4254132016631</v>
      </c>
      <c r="P39" s="122">
        <f>'[1]Additional Information'!$J$77/1000</f>
        <v>996.23868421051509</v>
      </c>
    </row>
    <row r="40" spans="9:21" ht="15.5" x14ac:dyDescent="0.35">
      <c r="I40" s="71" t="s">
        <v>34</v>
      </c>
      <c r="J40" s="69">
        <f>SUM(J34:J39)</f>
        <v>1871</v>
      </c>
      <c r="K40" s="70"/>
      <c r="L40" s="70"/>
      <c r="M40" s="69">
        <f>SUM(M34:M39)</f>
        <v>12223.99354197118</v>
      </c>
      <c r="N40" s="69">
        <f>SUM(N34:N39)</f>
        <v>166350.09564105226</v>
      </c>
      <c r="O40" s="132">
        <f>SUM(O34:O39)</f>
        <v>658.87046061499916</v>
      </c>
      <c r="P40" s="123">
        <f>SUM(P34:P39)</f>
        <v>8661.7771847368203</v>
      </c>
    </row>
    <row r="41" spans="9:21" ht="15.5" x14ac:dyDescent="0.35">
      <c r="I41" s="59"/>
      <c r="J41" s="56"/>
      <c r="K41" s="61"/>
      <c r="L41" s="61"/>
      <c r="M41" s="86"/>
      <c r="N41" s="86"/>
      <c r="O41" s="107"/>
      <c r="P41" s="124"/>
    </row>
    <row r="42" spans="9:21" s="17" customFormat="1" ht="15.5" x14ac:dyDescent="0.35">
      <c r="I42" s="64" t="s">
        <v>80</v>
      </c>
      <c r="J42" s="56"/>
      <c r="K42" s="61"/>
      <c r="L42" s="61"/>
      <c r="M42" s="86"/>
      <c r="N42" s="86"/>
      <c r="O42" s="107"/>
      <c r="P42" s="124"/>
    </row>
    <row r="43" spans="9:21" s="17" customFormat="1" ht="15.5" x14ac:dyDescent="0.35">
      <c r="I43" s="59" t="s">
        <v>35</v>
      </c>
      <c r="J43" s="56">
        <v>90000</v>
      </c>
      <c r="K43" s="129" t="s">
        <v>43</v>
      </c>
      <c r="L43" s="128" t="s">
        <v>70</v>
      </c>
      <c r="M43" s="43">
        <f>SUM([2]AnnualQtys!$C$4:$AJ$4)/1000</f>
        <v>301224.62113279186</v>
      </c>
      <c r="N43" s="43">
        <f>SUM([2]AnnualQtys!$C$8:$AJ$8)/1000</f>
        <v>3940980.4210526235</v>
      </c>
      <c r="O43" s="133">
        <f>[2]AnnualQtys!$K$4/1000</f>
        <v>27543.620539997297</v>
      </c>
      <c r="P43" s="130">
        <f>[2]AnnualQtys!$K$8/1000</f>
        <v>354688.237894736</v>
      </c>
      <c r="Q43" s="68"/>
      <c r="R43" s="68"/>
      <c r="S43" s="68"/>
      <c r="T43" s="68"/>
      <c r="U43" s="68"/>
    </row>
    <row r="44" spans="9:21" s="17" customFormat="1" ht="15.5" x14ac:dyDescent="0.35">
      <c r="I44" s="59" t="s">
        <v>36</v>
      </c>
      <c r="J44" s="56">
        <v>30679</v>
      </c>
      <c r="K44" s="129" t="s">
        <v>43</v>
      </c>
      <c r="L44" s="129" t="s">
        <v>81</v>
      </c>
      <c r="M44" s="43">
        <f>SUM([2]AnnualQtys!$C$19:$AJ$19)/1000</f>
        <v>92116.639101255394</v>
      </c>
      <c r="N44" s="43">
        <f>SUM([2]AnnualQtys!$C$23:$AJ$23)/1000</f>
        <v>1206584.6333684102</v>
      </c>
      <c r="O44" s="133">
        <f>[2]AnnualQtys!$K$19/1000</f>
        <v>8508.577931067779</v>
      </c>
      <c r="P44" s="130">
        <f>[2]AnnualQtys!$K$23/1000</f>
        <v>109910.334915788</v>
      </c>
    </row>
    <row r="45" spans="9:21" ht="15.5" x14ac:dyDescent="0.35">
      <c r="I45" s="115" t="s">
        <v>84</v>
      </c>
      <c r="J45" s="126">
        <f>J43-J44</f>
        <v>59321</v>
      </c>
      <c r="K45" s="127"/>
      <c r="L45" s="127"/>
      <c r="M45" s="126">
        <f t="shared" ref="M45:P45" si="7">M43-M44</f>
        <v>209107.98203153646</v>
      </c>
      <c r="N45" s="126">
        <f t="shared" si="7"/>
        <v>2734395.7876842134</v>
      </c>
      <c r="O45" s="126">
        <f t="shared" si="7"/>
        <v>19035.042608929518</v>
      </c>
      <c r="P45" s="165">
        <f t="shared" si="7"/>
        <v>244777.902978948</v>
      </c>
    </row>
    <row r="46" spans="9:21" ht="16" thickBot="1" x14ac:dyDescent="0.4">
      <c r="I46" s="75" t="s">
        <v>11</v>
      </c>
      <c r="J46" s="76">
        <f>J40+J45</f>
        <v>61192</v>
      </c>
      <c r="K46" s="76"/>
      <c r="L46" s="76"/>
      <c r="M46" s="76">
        <f>M40+M45</f>
        <v>221331.97557350763</v>
      </c>
      <c r="N46" s="76">
        <f>N40+N45</f>
        <v>2900745.8833252657</v>
      </c>
      <c r="O46" s="134">
        <f>O40+O45</f>
        <v>19693.913069544516</v>
      </c>
      <c r="P46" s="125">
        <f>P40+P45</f>
        <v>253439.68016368482</v>
      </c>
    </row>
    <row r="47" spans="9:21" ht="15.5" x14ac:dyDescent="0.35">
      <c r="I47" s="250" t="s">
        <v>31</v>
      </c>
      <c r="J47" s="17"/>
      <c r="K47" s="17"/>
      <c r="M47" s="17"/>
      <c r="N47" s="17"/>
      <c r="O47" s="17"/>
      <c r="P47" s="17"/>
    </row>
    <row r="48" spans="9:21" ht="15.5" x14ac:dyDescent="0.35">
      <c r="I48" s="250" t="s">
        <v>83</v>
      </c>
      <c r="O48" s="17"/>
      <c r="P48" s="17"/>
    </row>
    <row r="49" spans="2:16" ht="15.5" x14ac:dyDescent="0.35">
      <c r="I49" s="58" t="s">
        <v>29</v>
      </c>
      <c r="J49" s="41"/>
      <c r="K49" s="60"/>
      <c r="L49" s="60"/>
      <c r="M49" s="84">
        <f>'[1]Additional Information'!$AJ$87/1000</f>
        <v>8337.3241887694876</v>
      </c>
      <c r="N49" s="122">
        <f>'[1]Additional Information'!$AJ$91/1000</f>
        <v>107481.28421052663</v>
      </c>
      <c r="O49" s="84">
        <f>'[1]Additional Information'!$J$87/1000</f>
        <v>466.83304961089402</v>
      </c>
      <c r="P49" s="122">
        <f>'[1]Additional Information'!$J$91/1000</f>
        <v>5374.0642105263305</v>
      </c>
    </row>
    <row r="50" spans="2:16" x14ac:dyDescent="0.35">
      <c r="D50" s="145"/>
    </row>
    <row r="51" spans="2:16" ht="15" thickBot="1" x14ac:dyDescent="0.4">
      <c r="B51" s="40" t="s">
        <v>90</v>
      </c>
      <c r="C51" s="17"/>
      <c r="D51" s="17"/>
      <c r="F51" s="17"/>
    </row>
    <row r="52" spans="2:16" ht="15.5" x14ac:dyDescent="0.35">
      <c r="B52" s="269" t="s">
        <v>42</v>
      </c>
      <c r="C52" s="270"/>
      <c r="D52" s="270"/>
      <c r="E52" s="270"/>
      <c r="F52" s="270"/>
      <c r="G52" s="271"/>
    </row>
    <row r="53" spans="2:16" ht="15.5" x14ac:dyDescent="0.35">
      <c r="B53" s="310" t="s">
        <v>86</v>
      </c>
      <c r="C53" s="311"/>
      <c r="D53" s="311"/>
      <c r="E53" s="311"/>
      <c r="F53" s="311"/>
      <c r="G53" s="312"/>
    </row>
    <row r="54" spans="2:16" x14ac:dyDescent="0.35">
      <c r="B54" s="153"/>
      <c r="C54" s="143"/>
      <c r="D54" s="143"/>
      <c r="E54" s="143"/>
      <c r="F54" s="143"/>
      <c r="G54" s="144"/>
    </row>
    <row r="55" spans="2:16" x14ac:dyDescent="0.35">
      <c r="B55" s="57"/>
      <c r="C55" s="88" t="s">
        <v>51</v>
      </c>
      <c r="D55" s="88" t="s">
        <v>48</v>
      </c>
      <c r="E55" s="301" t="s">
        <v>61</v>
      </c>
      <c r="F55" s="301"/>
      <c r="G55" s="302"/>
    </row>
    <row r="56" spans="2:16" ht="29" x14ac:dyDescent="0.35">
      <c r="B56" s="139" t="s">
        <v>49</v>
      </c>
      <c r="C56" s="140" t="s">
        <v>76</v>
      </c>
      <c r="D56" s="140" t="s">
        <v>76</v>
      </c>
      <c r="E56" s="72" t="s">
        <v>77</v>
      </c>
      <c r="F56" s="73" t="s">
        <v>78</v>
      </c>
      <c r="G56" s="74" t="s">
        <v>79</v>
      </c>
    </row>
    <row r="57" spans="2:16" ht="15.5" x14ac:dyDescent="0.35">
      <c r="B57" s="114" t="s">
        <v>45</v>
      </c>
      <c r="C57" s="141"/>
      <c r="D57" s="141"/>
      <c r="E57" s="63"/>
      <c r="F57" s="142"/>
      <c r="G57" s="159"/>
    </row>
    <row r="58" spans="2:16" ht="15.5" x14ac:dyDescent="0.35">
      <c r="B58" s="58" t="s">
        <v>33</v>
      </c>
      <c r="C58" s="84">
        <f>'[1]Additional Information'!$J$47</f>
        <v>2528.5958999999998</v>
      </c>
      <c r="D58" s="84">
        <f>'[1]Additional Information'!$J$46</f>
        <v>1354.44831665367</v>
      </c>
      <c r="E58" s="43">
        <f>C58-D58</f>
        <v>1174.1475833463298</v>
      </c>
      <c r="F58" s="81">
        <f>'[1]Additional Information'!$J$50</f>
        <v>7.3324857274534896</v>
      </c>
      <c r="G58" s="160">
        <f>'[1]Additional Information'!$J$53</f>
        <v>3.5676873874534398</v>
      </c>
    </row>
    <row r="59" spans="2:16" ht="15.5" x14ac:dyDescent="0.35">
      <c r="B59" s="58" t="s">
        <v>32</v>
      </c>
      <c r="C59" s="84">
        <f>'[1]Additional Information'!$J$61</f>
        <v>204.76188294664581</v>
      </c>
      <c r="D59" s="84">
        <f>'[1]Additional Information'!$J$60</f>
        <v>49.712879725141178</v>
      </c>
      <c r="E59" s="43">
        <f t="shared" ref="E59" si="8">C59-D59</f>
        <v>155.04900322150462</v>
      </c>
      <c r="F59" s="146">
        <f>'[1]Additional Information'!$J$64</f>
        <v>1.1088395079428532E-2</v>
      </c>
      <c r="G59" s="160">
        <f>'[1]Additional Information'!$J$67</f>
        <v>2.4127192504925801E-2</v>
      </c>
    </row>
    <row r="60" spans="2:16" ht="15.5" x14ac:dyDescent="0.35">
      <c r="B60" s="58" t="s">
        <v>169</v>
      </c>
      <c r="C60" s="84"/>
      <c r="D60" s="84"/>
      <c r="E60" s="43"/>
      <c r="F60" s="81"/>
      <c r="G60" s="160"/>
    </row>
    <row r="61" spans="2:16" ht="15.5" x14ac:dyDescent="0.35">
      <c r="B61" s="58" t="s">
        <v>30</v>
      </c>
      <c r="C61" s="84">
        <f>'[1]Additional Information'!$J$19</f>
        <v>1825.6501603135</v>
      </c>
      <c r="D61" s="84">
        <f>'[1]Additional Information'!$J$18</f>
        <v>931.618724563706</v>
      </c>
      <c r="E61" s="43">
        <f t="shared" ref="E61:E63" si="9">C61-D61</f>
        <v>894.03143574979401</v>
      </c>
      <c r="F61" s="81">
        <f>'[1]Additional Information'!$J$22</f>
        <v>0.81076860906514703</v>
      </c>
      <c r="G61" s="160">
        <f>'[1]Additional Information'!$J$25</f>
        <v>2.4112880818935299E-3</v>
      </c>
    </row>
    <row r="62" spans="2:16" ht="15.5" x14ac:dyDescent="0.35">
      <c r="B62" s="58" t="s">
        <v>95</v>
      </c>
      <c r="C62" s="84">
        <f>'[1]Additional Information'!$J$33</f>
        <v>340.99748345987899</v>
      </c>
      <c r="D62" s="84">
        <f>'[1]Additional Information'!$J$32</f>
        <v>113.08147266646699</v>
      </c>
      <c r="E62" s="43">
        <f t="shared" si="9"/>
        <v>227.916010793412</v>
      </c>
      <c r="F62" s="81">
        <f>'[1]Additional Information'!$J$36</f>
        <v>0.99751494992773904</v>
      </c>
      <c r="G62" s="160">
        <f>'[1]Additional Information'!$J$39</f>
        <v>0.48980758566524801</v>
      </c>
    </row>
    <row r="63" spans="2:16" ht="15.5" x14ac:dyDescent="0.35">
      <c r="B63" s="58" t="s">
        <v>91</v>
      </c>
      <c r="C63" s="84">
        <f>'[1]Additional Information'!$J$75</f>
        <v>1029.8287188149679</v>
      </c>
      <c r="D63" s="84">
        <f>'[1]Additional Information'!$J$74</f>
        <v>261.13342767651528</v>
      </c>
      <c r="E63" s="43">
        <f t="shared" si="9"/>
        <v>768.6952911384526</v>
      </c>
      <c r="F63" s="82">
        <f>'[1]Additional Information'!$J$78</f>
        <v>0.1919536093470296</v>
      </c>
      <c r="G63" s="160">
        <f>'[1]Additional Information'!$J$81</f>
        <v>0.13925246589588622</v>
      </c>
    </row>
    <row r="64" spans="2:16" ht="15.5" x14ac:dyDescent="0.35">
      <c r="B64" s="71" t="s">
        <v>34</v>
      </c>
      <c r="C64" s="69">
        <f t="shared" ref="C64:G64" si="10">SUM(C58:C63)</f>
        <v>5929.8341455349928</v>
      </c>
      <c r="D64" s="69">
        <f t="shared" si="10"/>
        <v>2709.9948212854993</v>
      </c>
      <c r="E64" s="69">
        <f t="shared" si="10"/>
        <v>3219.8393242494931</v>
      </c>
      <c r="F64" s="83">
        <f t="shared" si="10"/>
        <v>9.3438112908728339</v>
      </c>
      <c r="G64" s="161">
        <f t="shared" si="10"/>
        <v>4.223285919601393</v>
      </c>
    </row>
    <row r="65" spans="2:14" ht="15.5" x14ac:dyDescent="0.35">
      <c r="B65" s="59"/>
      <c r="C65" s="55"/>
      <c r="D65" s="55"/>
      <c r="E65" s="55"/>
      <c r="F65" s="77"/>
      <c r="G65" s="162"/>
    </row>
    <row r="66" spans="2:14" ht="15.5" x14ac:dyDescent="0.35">
      <c r="B66" s="64" t="s">
        <v>80</v>
      </c>
      <c r="C66" s="55"/>
      <c r="D66" s="55"/>
      <c r="E66" s="55"/>
      <c r="F66" s="92"/>
      <c r="G66" s="162"/>
    </row>
    <row r="67" spans="2:14" ht="15.5" x14ac:dyDescent="0.35">
      <c r="B67" s="59" t="s">
        <v>35</v>
      </c>
      <c r="C67" s="117">
        <f>[2]AnnualQtys!$K$6</f>
        <v>247892.584859975</v>
      </c>
      <c r="D67" s="117">
        <f>[2]AnnualQtys!$K$5</f>
        <v>93361.748037862795</v>
      </c>
      <c r="E67" s="118">
        <f t="shared" ref="E67:E68" si="11">C67-D67</f>
        <v>154530.83682211221</v>
      </c>
      <c r="F67" s="119">
        <f>[2]AnnualQtys!$K$9</f>
        <v>20.0450086569112</v>
      </c>
      <c r="G67" s="163">
        <f>[2]AnnualQtys!$K$12</f>
        <v>41.8335535323248</v>
      </c>
      <c r="I67" s="145"/>
      <c r="J67" s="145"/>
      <c r="K67" s="145"/>
      <c r="L67" s="145"/>
      <c r="M67" s="145"/>
      <c r="N67" s="145"/>
    </row>
    <row r="68" spans="2:14" ht="15.5" x14ac:dyDescent="0.35">
      <c r="B68" s="59" t="s">
        <v>36</v>
      </c>
      <c r="C68" s="117">
        <f>[2]AnnualQtys!$K$21</f>
        <v>76577.201379609993</v>
      </c>
      <c r="D68" s="117">
        <f>[2]AnnualQtys!$K$20</f>
        <v>45271.8886038579</v>
      </c>
      <c r="E68" s="118">
        <f t="shared" si="11"/>
        <v>31305.312775752092</v>
      </c>
      <c r="F68" s="119">
        <f>[2]AnnualQtys!$K$24</f>
        <v>4.1419715086731301</v>
      </c>
      <c r="G68" s="163">
        <f>[2]AnnualQtys!$K$27</f>
        <v>10.8726964638852</v>
      </c>
    </row>
    <row r="69" spans="2:14" ht="15.5" x14ac:dyDescent="0.35">
      <c r="B69" s="115" t="s">
        <v>84</v>
      </c>
      <c r="C69" s="116">
        <f>C67-C68</f>
        <v>171315.38348036501</v>
      </c>
      <c r="D69" s="116">
        <f t="shared" ref="D69:G69" si="12">D67-D68</f>
        <v>48089.859434004895</v>
      </c>
      <c r="E69" s="116">
        <f t="shared" si="12"/>
        <v>123225.52404636011</v>
      </c>
      <c r="F69" s="120">
        <f t="shared" si="12"/>
        <v>15.90303714823807</v>
      </c>
      <c r="G69" s="164">
        <f t="shared" si="12"/>
        <v>30.960857068439601</v>
      </c>
    </row>
    <row r="70" spans="2:14" ht="16" thickBot="1" x14ac:dyDescent="0.4">
      <c r="B70" s="75" t="s">
        <v>11</v>
      </c>
      <c r="C70" s="76">
        <f>C64+C69</f>
        <v>177245.2176259</v>
      </c>
      <c r="D70" s="76">
        <f t="shared" ref="D70:G70" si="13">D64+D69</f>
        <v>50799.854255290396</v>
      </c>
      <c r="E70" s="76">
        <f t="shared" si="13"/>
        <v>126445.3633706096</v>
      </c>
      <c r="F70" s="78">
        <f t="shared" si="13"/>
        <v>25.246848439110906</v>
      </c>
      <c r="G70" s="79">
        <f t="shared" si="13"/>
        <v>35.184142988040996</v>
      </c>
    </row>
    <row r="71" spans="2:14" ht="15.5" x14ac:dyDescent="0.35">
      <c r="B71" s="90" t="s">
        <v>172</v>
      </c>
      <c r="C71" s="91"/>
      <c r="D71" s="91"/>
      <c r="E71" s="91"/>
      <c r="F71" s="92"/>
      <c r="G71" s="92"/>
    </row>
    <row r="72" spans="2:14" ht="15.5" x14ac:dyDescent="0.35">
      <c r="B72" s="90" t="s">
        <v>173</v>
      </c>
      <c r="C72" s="91"/>
      <c r="D72" s="91"/>
      <c r="E72" s="91"/>
      <c r="F72" s="92"/>
      <c r="G72" s="92"/>
    </row>
    <row r="73" spans="2:14" ht="15.5" x14ac:dyDescent="0.35">
      <c r="B73" s="250" t="s">
        <v>170</v>
      </c>
      <c r="C73" s="17"/>
      <c r="D73" s="17"/>
      <c r="F73" s="17"/>
    </row>
    <row r="74" spans="2:14" x14ac:dyDescent="0.35">
      <c r="B74" s="17"/>
      <c r="C74" s="17"/>
      <c r="D74" s="17"/>
      <c r="F74" s="17"/>
    </row>
    <row r="75" spans="2:14" ht="15.5" x14ac:dyDescent="0.35">
      <c r="B75" s="58" t="s">
        <v>169</v>
      </c>
      <c r="C75" s="84">
        <f>'[1]Additional Information'!$J$89</f>
        <v>4201.4974464980496</v>
      </c>
      <c r="D75" s="84">
        <f>'[1]Additional Information'!$J$88</f>
        <v>1684.49168337583</v>
      </c>
      <c r="E75" s="43">
        <f t="shared" ref="E75" si="14">C75-D75</f>
        <v>2517.0057631222198</v>
      </c>
      <c r="F75" s="81">
        <f>'[1]Additional Information'!$J$92</f>
        <v>0.32699633132224998</v>
      </c>
      <c r="G75" s="80">
        <f>'[1]Additional Information'!$J$95</f>
        <v>0.69628739224150804</v>
      </c>
    </row>
  </sheetData>
  <mergeCells count="20">
    <mergeCell ref="B52:G52"/>
    <mergeCell ref="B53:G53"/>
    <mergeCell ref="E55:G55"/>
    <mergeCell ref="O31:P31"/>
    <mergeCell ref="K31:K32"/>
    <mergeCell ref="M31:N31"/>
    <mergeCell ref="B2:G2"/>
    <mergeCell ref="B3:G3"/>
    <mergeCell ref="E5:G5"/>
    <mergeCell ref="I31:I32"/>
    <mergeCell ref="J31:J32"/>
    <mergeCell ref="I29:P29"/>
    <mergeCell ref="I30:P30"/>
    <mergeCell ref="P2:P4"/>
    <mergeCell ref="Q2:Q4"/>
    <mergeCell ref="R2:Z2"/>
    <mergeCell ref="R3:S3"/>
    <mergeCell ref="T3:U3"/>
    <mergeCell ref="V3:W3"/>
    <mergeCell ref="X3:Y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"/>
  <sheetViews>
    <sheetView workbookViewId="0"/>
  </sheetViews>
  <sheetFormatPr defaultRowHeight="14.5" x14ac:dyDescent="0.35"/>
  <sheetData>
    <row r="1" spans="2:16" s="17" customFormat="1" x14ac:dyDescent="0.35"/>
    <row r="2" spans="2:16" s="17" customFormat="1" x14ac:dyDescent="0.35">
      <c r="B2" s="17" t="s">
        <v>161</v>
      </c>
      <c r="P2" t="s">
        <v>162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6"/>
  <sheetViews>
    <sheetView showGridLines="0" zoomScale="120" zoomScaleNormal="120" workbookViewId="0"/>
  </sheetViews>
  <sheetFormatPr defaultRowHeight="14.5" x14ac:dyDescent="0.35"/>
  <cols>
    <col min="1" max="1" width="6.6328125" customWidth="1"/>
    <col min="2" max="2" width="11.54296875" customWidth="1"/>
    <col min="3" max="3" width="23.453125" customWidth="1"/>
    <col min="4" max="15" width="9.36328125" customWidth="1"/>
  </cols>
  <sheetData>
    <row r="2" spans="1:15" ht="15" thickBot="1" x14ac:dyDescent="0.4"/>
    <row r="3" spans="1:15" s="17" customFormat="1" ht="15.5" x14ac:dyDescent="0.35">
      <c r="B3" s="269" t="s">
        <v>93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1"/>
    </row>
    <row r="4" spans="1:15" ht="15.5" x14ac:dyDescent="0.35">
      <c r="B4" s="281" t="s">
        <v>19</v>
      </c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3"/>
    </row>
    <row r="5" spans="1:15" ht="15.5" x14ac:dyDescent="0.35">
      <c r="B5" s="281" t="s">
        <v>52</v>
      </c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3"/>
    </row>
    <row r="6" spans="1:15" ht="16" thickBot="1" x14ac:dyDescent="0.4">
      <c r="B6" s="2"/>
      <c r="C6" s="5"/>
      <c r="D6" s="5"/>
      <c r="E6" s="5"/>
      <c r="F6" s="5"/>
      <c r="G6" s="5"/>
      <c r="H6" s="5"/>
      <c r="I6" s="5"/>
      <c r="J6" s="5"/>
      <c r="K6" s="5"/>
      <c r="L6" s="47"/>
      <c r="M6" s="47"/>
      <c r="N6" s="47"/>
      <c r="O6" s="48"/>
    </row>
    <row r="7" spans="1:15" ht="15.5" x14ac:dyDescent="0.35">
      <c r="B7" s="2"/>
      <c r="C7" s="5"/>
      <c r="D7" s="325" t="s">
        <v>35</v>
      </c>
      <c r="E7" s="326"/>
      <c r="F7" s="326"/>
      <c r="G7" s="327"/>
      <c r="H7" s="325" t="s">
        <v>36</v>
      </c>
      <c r="I7" s="326"/>
      <c r="J7" s="326"/>
      <c r="K7" s="327"/>
      <c r="L7" s="325" t="s">
        <v>97</v>
      </c>
      <c r="M7" s="326"/>
      <c r="N7" s="326"/>
      <c r="O7" s="327"/>
    </row>
    <row r="8" spans="1:15" ht="16" thickBot="1" x14ac:dyDescent="0.4">
      <c r="B8" s="328" t="s">
        <v>12</v>
      </c>
      <c r="C8" s="329"/>
      <c r="D8" s="13" t="s">
        <v>9</v>
      </c>
      <c r="E8" s="14" t="s">
        <v>7</v>
      </c>
      <c r="F8" s="14" t="s">
        <v>8</v>
      </c>
      <c r="G8" s="15" t="s">
        <v>6</v>
      </c>
      <c r="H8" s="13" t="s">
        <v>9</v>
      </c>
      <c r="I8" s="14" t="s">
        <v>7</v>
      </c>
      <c r="J8" s="14" t="s">
        <v>8</v>
      </c>
      <c r="K8" s="15" t="s">
        <v>6</v>
      </c>
      <c r="L8" s="13" t="str">
        <f>H8</f>
        <v>RIM</v>
      </c>
      <c r="M8" s="14" t="str">
        <f>I8</f>
        <v>PCT</v>
      </c>
      <c r="N8" s="14" t="str">
        <f>J8</f>
        <v>TRC</v>
      </c>
      <c r="O8" s="15" t="str">
        <f>K8</f>
        <v>SCT</v>
      </c>
    </row>
    <row r="9" spans="1:15" ht="15.75" customHeight="1" x14ac:dyDescent="0.35">
      <c r="A9" s="17"/>
      <c r="B9" s="317" t="s">
        <v>13</v>
      </c>
      <c r="C9" s="135" t="s">
        <v>5</v>
      </c>
      <c r="D9" s="136"/>
      <c r="E9" s="137">
        <f>-[2]DataForGraphs!$D$8</f>
        <v>-342.74840133010298</v>
      </c>
      <c r="F9" s="137">
        <f>-[2]DataForGraphs!$J$8</f>
        <v>-342.74840133010298</v>
      </c>
      <c r="G9" s="138">
        <f>-[2]DataForGraphs!$M$8</f>
        <v>-342.74840133010298</v>
      </c>
      <c r="H9" s="136"/>
      <c r="I9" s="137">
        <f>-[2]DataForGraphs!$R$8</f>
        <v>-113.753287888957</v>
      </c>
      <c r="J9" s="137">
        <f>-[2]DataForGraphs!$X$8</f>
        <v>-113.753287888957</v>
      </c>
      <c r="K9" s="138">
        <f>-[2]DataForGraphs!$AA$8</f>
        <v>-113.753287888957</v>
      </c>
      <c r="L9" s="136"/>
      <c r="M9" s="137">
        <f>E9-I9</f>
        <v>-228.99511344114597</v>
      </c>
      <c r="N9" s="137">
        <f t="shared" ref="N9:N17" si="0">F9-J9</f>
        <v>-228.99511344114597</v>
      </c>
      <c r="O9" s="138">
        <f t="shared" ref="O9:O19" si="1">G9-K9</f>
        <v>-228.99511344114597</v>
      </c>
    </row>
    <row r="10" spans="1:15" s="17" customFormat="1" ht="15.75" customHeight="1" x14ac:dyDescent="0.35">
      <c r="B10" s="277"/>
      <c r="C10" s="12" t="s">
        <v>94</v>
      </c>
      <c r="D10" s="18"/>
      <c r="E10" s="19">
        <f>[2]DataForGraphs!$E$7</f>
        <v>70.845407595907147</v>
      </c>
      <c r="F10" s="19">
        <f>[2]DataForGraphs!$K$7</f>
        <v>70.845407595907147</v>
      </c>
      <c r="G10" s="20">
        <f>[2]DataForGraphs!$N$7</f>
        <v>70.845407595907147</v>
      </c>
      <c r="H10" s="18"/>
      <c r="I10" s="19">
        <f>[2]DataForGraphs!$S$7</f>
        <v>23.928750545716824</v>
      </c>
      <c r="J10" s="19">
        <f>[2]DataForGraphs!$Y$7</f>
        <v>23.928750545716824</v>
      </c>
      <c r="K10" s="20">
        <f>[2]DataForGraphs!$AB$7</f>
        <v>23.928750545716824</v>
      </c>
      <c r="L10" s="18"/>
      <c r="M10" s="19">
        <f t="shared" ref="L10:M18" si="2">E10-I10</f>
        <v>46.916657050190324</v>
      </c>
      <c r="N10" s="19">
        <f t="shared" si="0"/>
        <v>46.916657050190324</v>
      </c>
      <c r="O10" s="20">
        <f t="shared" si="1"/>
        <v>46.916657050190324</v>
      </c>
    </row>
    <row r="11" spans="1:15" ht="15.5" x14ac:dyDescent="0.35">
      <c r="A11" s="17"/>
      <c r="B11" s="277"/>
      <c r="C11" s="9" t="s">
        <v>4</v>
      </c>
      <c r="D11" s="21">
        <f>[2]DataForGraphs!$H$13</f>
        <v>192.16598229929201</v>
      </c>
      <c r="E11" s="22">
        <f>-[2]DataForGraphs!$D$13</f>
        <v>-192.16598229929201</v>
      </c>
      <c r="F11" s="23"/>
      <c r="G11" s="24"/>
      <c r="H11" s="21">
        <f>[2]DataForGraphs!$V$13</f>
        <v>140.11510682391099</v>
      </c>
      <c r="I11" s="22">
        <f>-[2]DataForGraphs!$R$13</f>
        <v>-140.11510682391099</v>
      </c>
      <c r="J11" s="23"/>
      <c r="K11" s="24"/>
      <c r="L11" s="21">
        <f t="shared" ref="L11:L17" si="3">D11-H11</f>
        <v>52.050875475381019</v>
      </c>
      <c r="M11" s="22">
        <f t="shared" si="2"/>
        <v>-52.050875475381019</v>
      </c>
      <c r="N11" s="23"/>
      <c r="O11" s="24"/>
    </row>
    <row r="12" spans="1:15" ht="15.5" x14ac:dyDescent="0.35">
      <c r="A12" s="17"/>
      <c r="B12" s="277"/>
      <c r="C12" s="9" t="s">
        <v>2</v>
      </c>
      <c r="D12" s="25"/>
      <c r="E12" s="22">
        <f>[2]DataForGraphs!$E$20</f>
        <v>504.35584473538302</v>
      </c>
      <c r="F12" s="22">
        <f>[2]DataForGraphs!$K$20</f>
        <v>504.35584473538302</v>
      </c>
      <c r="G12" s="26">
        <f>[2]DataForGraphs!$N$20</f>
        <v>504.35584473538302</v>
      </c>
      <c r="H12" s="25"/>
      <c r="I12" s="22">
        <f>[2]DataForGraphs!$S$20</f>
        <v>153.67892505348399</v>
      </c>
      <c r="J12" s="22">
        <f>[2]DataForGraphs!$Y$20</f>
        <v>153.67892505348399</v>
      </c>
      <c r="K12" s="26">
        <f>[2]DataForGraphs!$AB$20</f>
        <v>153.67892505348399</v>
      </c>
      <c r="L12" s="25"/>
      <c r="M12" s="22">
        <f t="shared" si="2"/>
        <v>350.67691968189899</v>
      </c>
      <c r="N12" s="22">
        <f t="shared" si="0"/>
        <v>350.67691968189899</v>
      </c>
      <c r="O12" s="26">
        <f t="shared" si="1"/>
        <v>350.67691968189899</v>
      </c>
    </row>
    <row r="13" spans="1:15" ht="15.5" x14ac:dyDescent="0.35">
      <c r="A13" s="17"/>
      <c r="B13" s="277"/>
      <c r="C13" s="9" t="s">
        <v>3</v>
      </c>
      <c r="D13" s="25"/>
      <c r="E13" s="22">
        <f>[2]DataForGraphs!$E$9</f>
        <v>47.190770696214102</v>
      </c>
      <c r="F13" s="22">
        <f>[2]DataForGraphs!$K$9</f>
        <v>47.190770696214102</v>
      </c>
      <c r="G13" s="26">
        <f>[2]DataForGraphs!$N$9</f>
        <v>47.190770696214102</v>
      </c>
      <c r="H13" s="25"/>
      <c r="I13" s="22">
        <f>[2]DataForGraphs!$S$9</f>
        <v>14.1572312088642</v>
      </c>
      <c r="J13" s="22">
        <f>[2]DataForGraphs!$Y$9</f>
        <v>14.1572312088642</v>
      </c>
      <c r="K13" s="26">
        <f>[2]DataForGraphs!$AB$9</f>
        <v>14.1572312088642</v>
      </c>
      <c r="L13" s="25"/>
      <c r="M13" s="22">
        <f t="shared" si="2"/>
        <v>33.033539487349898</v>
      </c>
      <c r="N13" s="22">
        <f t="shared" si="0"/>
        <v>33.033539487349898</v>
      </c>
      <c r="O13" s="26">
        <f t="shared" si="1"/>
        <v>33.033539487349898</v>
      </c>
    </row>
    <row r="14" spans="1:15" ht="15.5" x14ac:dyDescent="0.35">
      <c r="A14" s="17"/>
      <c r="B14" s="278"/>
      <c r="C14" s="9" t="s">
        <v>38</v>
      </c>
      <c r="D14" s="25"/>
      <c r="E14" s="22">
        <f>[2]DataForGraphs!$E$10</f>
        <v>4.4446479034504298</v>
      </c>
      <c r="F14" s="23"/>
      <c r="G14" s="24"/>
      <c r="H14" s="25"/>
      <c r="I14" s="22">
        <f>[2]DataForGraphs!$S$10</f>
        <v>1.3333943710351299</v>
      </c>
      <c r="J14" s="23"/>
      <c r="K14" s="24"/>
      <c r="L14" s="25"/>
      <c r="M14" s="22">
        <f t="shared" si="2"/>
        <v>3.1112535324152999</v>
      </c>
      <c r="N14" s="23"/>
      <c r="O14" s="24"/>
    </row>
    <row r="15" spans="1:15" ht="15.75" customHeight="1" x14ac:dyDescent="0.35">
      <c r="A15" s="17"/>
      <c r="B15" s="279" t="s">
        <v>14</v>
      </c>
      <c r="C15" s="9" t="s">
        <v>39</v>
      </c>
      <c r="D15" s="21">
        <f>-[2]DataForGraphs!$G$12</f>
        <v>-238.73729165030255</v>
      </c>
      <c r="E15" s="23"/>
      <c r="F15" s="22">
        <f>-[2]DataForGraphs!$J$12</f>
        <v>-238.73729165030255</v>
      </c>
      <c r="G15" s="26">
        <f>-[2]DataForGraphs!$M$12</f>
        <v>-238.73729165030255</v>
      </c>
      <c r="H15" s="23"/>
      <c r="I15" s="23"/>
      <c r="J15" s="23"/>
      <c r="K15" s="23"/>
      <c r="L15" s="21">
        <f t="shared" si="3"/>
        <v>-238.73729165030255</v>
      </c>
      <c r="M15" s="23"/>
      <c r="N15" s="22">
        <f t="shared" si="0"/>
        <v>-238.73729165030255</v>
      </c>
      <c r="O15" s="26">
        <f t="shared" si="1"/>
        <v>-238.73729165030255</v>
      </c>
    </row>
    <row r="16" spans="1:15" ht="15.5" x14ac:dyDescent="0.35">
      <c r="A16" s="48"/>
      <c r="B16" s="277"/>
      <c r="C16" s="9" t="s">
        <v>40</v>
      </c>
      <c r="D16" s="49">
        <f>-[2]DataForGraphs!$G$23</f>
        <v>-42.726440106767924</v>
      </c>
      <c r="E16" s="23"/>
      <c r="F16" s="22">
        <f>-[2]DataForGraphs!$J$23</f>
        <v>-42.726440106767924</v>
      </c>
      <c r="G16" s="26">
        <f>-[2]DataForGraphs!$M$23</f>
        <v>-42.726440106767924</v>
      </c>
      <c r="H16" s="23"/>
      <c r="I16" s="23"/>
      <c r="J16" s="23"/>
      <c r="K16" s="23"/>
      <c r="L16" s="21">
        <f t="shared" si="3"/>
        <v>-42.726440106767924</v>
      </c>
      <c r="M16" s="23"/>
      <c r="N16" s="22">
        <f t="shared" si="0"/>
        <v>-42.726440106767924</v>
      </c>
      <c r="O16" s="26">
        <f t="shared" si="1"/>
        <v>-42.726440106767924</v>
      </c>
    </row>
    <row r="17" spans="1:15" ht="15.5" x14ac:dyDescent="0.35">
      <c r="A17" s="48"/>
      <c r="B17" s="6" t="s">
        <v>15</v>
      </c>
      <c r="C17" s="10"/>
      <c r="D17" s="21">
        <f>-SUM([2]DataForGraphs!$G$14:$G$19)</f>
        <v>-164.01335681676193</v>
      </c>
      <c r="E17" s="23"/>
      <c r="F17" s="22">
        <f>-SUM([2]DataForGraphs!$J$14:$J$19)</f>
        <v>-164.01335681676193</v>
      </c>
      <c r="G17" s="26">
        <f>-SUM([2]DataForGraphs!$M$14:$M$19)</f>
        <v>-164.01335681676193</v>
      </c>
      <c r="H17" s="21">
        <f>-SUM([2]DataForGraphs!$U$14:$U$19)</f>
        <v>-83.481441760813581</v>
      </c>
      <c r="I17" s="23"/>
      <c r="J17" s="22">
        <f>-SUM([2]DataForGraphs!$X$14:$X$19)</f>
        <v>-83.481441760813581</v>
      </c>
      <c r="K17" s="26">
        <f>-SUM([2]DataForGraphs!$AA$14:$AA$19)</f>
        <v>-83.481441760813581</v>
      </c>
      <c r="L17" s="21">
        <f t="shared" si="3"/>
        <v>-80.531915055948346</v>
      </c>
      <c r="M17" s="23"/>
      <c r="N17" s="22">
        <f t="shared" si="0"/>
        <v>-80.531915055948346</v>
      </c>
      <c r="O17" s="26">
        <f t="shared" si="1"/>
        <v>-80.531915055948346</v>
      </c>
    </row>
    <row r="18" spans="1:15" ht="15.75" customHeight="1" x14ac:dyDescent="0.35">
      <c r="A18" s="17"/>
      <c r="B18" s="279" t="s">
        <v>73</v>
      </c>
      <c r="C18" s="3" t="s">
        <v>1</v>
      </c>
      <c r="D18" s="21">
        <f>[2]DataForGraphs!$H$21</f>
        <v>91.001968951113497</v>
      </c>
      <c r="E18" s="23"/>
      <c r="F18" s="23"/>
      <c r="G18" s="23"/>
      <c r="H18" s="21">
        <f>[2]DataForGraphs!$V$21</f>
        <v>27.700538132946999</v>
      </c>
      <c r="I18" s="23"/>
      <c r="J18" s="23"/>
      <c r="K18" s="23"/>
      <c r="L18" s="21">
        <f t="shared" si="2"/>
        <v>63.301430818166494</v>
      </c>
      <c r="M18" s="23"/>
      <c r="N18" s="23"/>
      <c r="O18" s="24"/>
    </row>
    <row r="19" spans="1:15" ht="15.5" x14ac:dyDescent="0.35">
      <c r="A19" s="17"/>
      <c r="B19" s="278"/>
      <c r="C19" s="3" t="s">
        <v>0</v>
      </c>
      <c r="D19" s="25"/>
      <c r="E19" s="23"/>
      <c r="F19" s="23"/>
      <c r="G19" s="26">
        <f>-[2]DataForGraphs!$M$22</f>
        <v>-14.616072218503</v>
      </c>
      <c r="H19" s="25"/>
      <c r="I19" s="23"/>
      <c r="J19" s="23"/>
      <c r="K19" s="26">
        <f>-[2]DataForGraphs!$AA$22</f>
        <v>-14.085850992233</v>
      </c>
      <c r="L19" s="25"/>
      <c r="M19" s="23"/>
      <c r="N19" s="23"/>
      <c r="O19" s="26">
        <f t="shared" si="1"/>
        <v>-0.53022122626999924</v>
      </c>
    </row>
    <row r="20" spans="1:15" ht="16" thickBot="1" x14ac:dyDescent="0.4">
      <c r="B20" s="7" t="s">
        <v>168</v>
      </c>
      <c r="C20" s="11"/>
      <c r="D20" s="27">
        <f t="shared" ref="D20:O20" si="4">SUM(D9:D19)</f>
        <v>-162.30913732342691</v>
      </c>
      <c r="E20" s="28">
        <f t="shared" si="4"/>
        <v>91.922287301559706</v>
      </c>
      <c r="F20" s="28">
        <f t="shared" si="4"/>
        <v>-165.83346687643115</v>
      </c>
      <c r="G20" s="29">
        <f>SUM(G9:G19)</f>
        <v>-180.44953909493415</v>
      </c>
      <c r="H20" s="27">
        <f t="shared" si="4"/>
        <v>84.334203196044413</v>
      </c>
      <c r="I20" s="28">
        <f t="shared" si="4"/>
        <v>-60.770093533767863</v>
      </c>
      <c r="J20" s="28">
        <f t="shared" si="4"/>
        <v>-5.4698228417055645</v>
      </c>
      <c r="K20" s="29">
        <f t="shared" si="4"/>
        <v>-19.555673833938563</v>
      </c>
      <c r="L20" s="45">
        <f>SUM(L9:L19)</f>
        <v>-246.64334051947131</v>
      </c>
      <c r="M20" s="19">
        <f t="shared" si="4"/>
        <v>152.69238083532755</v>
      </c>
      <c r="N20" s="19">
        <f t="shared" si="4"/>
        <v>-160.36364403472555</v>
      </c>
      <c r="O20" s="20">
        <f t="shared" si="4"/>
        <v>-160.89386526099554</v>
      </c>
    </row>
    <row r="21" spans="1:15" ht="16" thickTop="1" x14ac:dyDescent="0.35">
      <c r="A21" s="17"/>
      <c r="B21" s="2" t="s">
        <v>16</v>
      </c>
      <c r="C21" s="3"/>
      <c r="D21" s="36">
        <f>-D15-D16-D17</f>
        <v>445.47708857383242</v>
      </c>
      <c r="E21" s="37">
        <f>-E9-E11</f>
        <v>534.91438362939493</v>
      </c>
      <c r="F21" s="37">
        <f>-F9-F15-F16-F17</f>
        <v>788.22548990393534</v>
      </c>
      <c r="G21" s="38">
        <f>-G9-G15-G16-G17</f>
        <v>788.22548990393534</v>
      </c>
      <c r="H21" s="36">
        <f>-H15-H16-H17</f>
        <v>83.481441760813581</v>
      </c>
      <c r="I21" s="37">
        <f>-I9-I11</f>
        <v>253.868394712868</v>
      </c>
      <c r="J21" s="37">
        <f>-J9-J15-J16-J17</f>
        <v>197.2347296497706</v>
      </c>
      <c r="K21" s="38">
        <f>-K9-K15-K16-K17</f>
        <v>197.2347296497706</v>
      </c>
      <c r="L21" s="36">
        <f>-L15-L16-L17</f>
        <v>361.99564681301882</v>
      </c>
      <c r="M21" s="37">
        <f>-M9-M11</f>
        <v>281.04598891652699</v>
      </c>
      <c r="N21" s="37">
        <f>-N9-N15-N16-N17</f>
        <v>590.9907602541648</v>
      </c>
      <c r="O21" s="38">
        <f>-O9-O15-O16-O17</f>
        <v>590.9907602541648</v>
      </c>
    </row>
    <row r="22" spans="1:15" ht="15.5" x14ac:dyDescent="0.35">
      <c r="A22" s="17"/>
      <c r="B22" s="2" t="s">
        <v>17</v>
      </c>
      <c r="C22" s="3"/>
      <c r="D22" s="36">
        <f>D11+D18</f>
        <v>283.16795125040551</v>
      </c>
      <c r="E22" s="37">
        <f>E12+E13+E14+E10+E18</f>
        <v>626.83667093095482</v>
      </c>
      <c r="F22" s="37">
        <f>F12+F13+F10</f>
        <v>622.39202302750437</v>
      </c>
      <c r="G22" s="38">
        <f>G12+G13+G19+G10</f>
        <v>607.77595080900142</v>
      </c>
      <c r="H22" s="36">
        <f>H11+H18</f>
        <v>167.81564495685799</v>
      </c>
      <c r="I22" s="37">
        <f>I12+I13+I14+I10+I18</f>
        <v>193.09830117910013</v>
      </c>
      <c r="J22" s="37">
        <f>J12+J13+J10</f>
        <v>191.76490680806501</v>
      </c>
      <c r="K22" s="38">
        <f>K12+K13+K19+K10</f>
        <v>177.67905581583204</v>
      </c>
      <c r="L22" s="36">
        <f>L11+L18</f>
        <v>115.35230629354751</v>
      </c>
      <c r="M22" s="37">
        <f>M12+M13+M14+M10+M18</f>
        <v>433.73836975185452</v>
      </c>
      <c r="N22" s="37">
        <f>N12+N13+N10</f>
        <v>430.62711621943924</v>
      </c>
      <c r="O22" s="38">
        <f>O12+O13+O19+O10</f>
        <v>430.09689499316926</v>
      </c>
    </row>
    <row r="23" spans="1:15" ht="16" thickBot="1" x14ac:dyDescent="0.4">
      <c r="A23" s="17"/>
      <c r="B23" s="4" t="s">
        <v>18</v>
      </c>
      <c r="C23" s="8"/>
      <c r="D23" s="147">
        <f>D22/D21</f>
        <v>0.63565098747715698</v>
      </c>
      <c r="E23" s="148">
        <f t="shared" ref="E23:K23" si="5">E22/E21</f>
        <v>1.1718448598780744</v>
      </c>
      <c r="F23" s="148">
        <f t="shared" si="5"/>
        <v>0.78961164159174568</v>
      </c>
      <c r="G23" s="149">
        <f t="shared" si="5"/>
        <v>0.77106863276278192</v>
      </c>
      <c r="H23" s="148">
        <f t="shared" si="5"/>
        <v>2.0102149821235016</v>
      </c>
      <c r="I23" s="148">
        <f t="shared" si="5"/>
        <v>0.76062363492509388</v>
      </c>
      <c r="J23" s="148">
        <f t="shared" si="5"/>
        <v>0.97226744574133395</v>
      </c>
      <c r="K23" s="149">
        <f t="shared" si="5"/>
        <v>0.90085075854205021</v>
      </c>
      <c r="L23" s="150">
        <f t="shared" ref="L23:O23" si="6">L22/L21</f>
        <v>0.31865661178276627</v>
      </c>
      <c r="M23" s="151">
        <f t="shared" si="6"/>
        <v>1.5433003382257073</v>
      </c>
      <c r="N23" s="151">
        <f t="shared" si="6"/>
        <v>0.7286528744277514</v>
      </c>
      <c r="O23" s="152">
        <f t="shared" si="6"/>
        <v>0.72775570096594977</v>
      </c>
    </row>
    <row r="24" spans="1:15" s="17" customFormat="1" ht="16" thickBot="1" x14ac:dyDescent="0.4">
      <c r="B24" s="3"/>
      <c r="C24" s="3"/>
      <c r="D24" s="238"/>
      <c r="E24" s="238"/>
      <c r="F24" s="238"/>
      <c r="G24" s="238"/>
      <c r="H24" s="238"/>
      <c r="I24" s="238"/>
      <c r="J24" s="238"/>
      <c r="K24" s="238"/>
      <c r="L24" s="239"/>
      <c r="M24" s="239"/>
      <c r="N24" s="239"/>
      <c r="O24" s="239"/>
    </row>
    <row r="25" spans="1:15" s="47" customFormat="1" ht="15.5" x14ac:dyDescent="0.35">
      <c r="B25" s="249" t="s">
        <v>167</v>
      </c>
      <c r="C25" s="243"/>
      <c r="D25" s="322" t="s">
        <v>35</v>
      </c>
      <c r="E25" s="323"/>
      <c r="F25" s="323"/>
      <c r="G25" s="324"/>
      <c r="H25" s="325" t="s">
        <v>36</v>
      </c>
      <c r="I25" s="326"/>
      <c r="J25" s="326"/>
      <c r="K25" s="327"/>
      <c r="L25" s="325"/>
      <c r="M25" s="326"/>
      <c r="N25" s="326"/>
      <c r="O25" s="327"/>
    </row>
    <row r="26" spans="1:15" ht="15.75" customHeight="1" x14ac:dyDescent="0.35">
      <c r="A26" s="17"/>
      <c r="B26" s="318" t="s">
        <v>166</v>
      </c>
      <c r="C26" s="244" t="s">
        <v>164</v>
      </c>
      <c r="D26" s="241">
        <f t="shared" ref="D26:G26" si="7">D20/$D$28*1000000</f>
        <v>-9.4777693734424392E-2</v>
      </c>
      <c r="E26" s="240">
        <f t="shared" si="7"/>
        <v>5.3676475255207461E-2</v>
      </c>
      <c r="F26" s="240">
        <f t="shared" si="7"/>
        <v>-9.6835666763559591E-2</v>
      </c>
      <c r="G26" s="242">
        <f t="shared" si="7"/>
        <v>-0.10537047656644284</v>
      </c>
      <c r="H26" s="241">
        <f>H20/$H$28*1000000</f>
        <v>0.16144265202792463</v>
      </c>
      <c r="I26" s="240">
        <f t="shared" ref="I26:K26" si="8">I20/$H$28*1000000</f>
        <v>-0.11633340557294415</v>
      </c>
      <c r="J26" s="240">
        <f t="shared" si="8"/>
        <v>-1.0470991273079155E-2</v>
      </c>
      <c r="K26" s="242">
        <f t="shared" si="8"/>
        <v>-3.7435817572202004E-2</v>
      </c>
      <c r="L26" s="241">
        <f>L20/$L$28*1000000</f>
        <v>-0.20723789380815252</v>
      </c>
      <c r="M26" s="240">
        <f t="shared" ref="M26:O26" si="9">M20/$L$28*1000000</f>
        <v>0.12829718952970265</v>
      </c>
      <c r="N26" s="240">
        <f t="shared" si="9"/>
        <v>-0.13474283863963968</v>
      </c>
      <c r="O26" s="242">
        <f t="shared" si="9"/>
        <v>-0.13518834805397514</v>
      </c>
    </row>
    <row r="27" spans="1:15" ht="15.75" customHeight="1" x14ac:dyDescent="0.35">
      <c r="A27" s="17"/>
      <c r="B27" s="319"/>
      <c r="C27" s="245" t="s">
        <v>165</v>
      </c>
      <c r="D27" s="170">
        <f>D20/$D$29*1000000</f>
        <v>-219.69469919253464</v>
      </c>
      <c r="E27" s="171">
        <f>E20/$D$29*1000000</f>
        <v>124.4220725390491</v>
      </c>
      <c r="F27" s="171">
        <f>F20/$D$29*1000000</f>
        <v>-224.4650807851603</v>
      </c>
      <c r="G27" s="172">
        <f>G20/$D$29*1000000</f>
        <v>-244.2487703689562</v>
      </c>
      <c r="H27" s="170">
        <f>H20/$H$29*1000000</f>
        <v>573.96909170103413</v>
      </c>
      <c r="I27" s="171">
        <f t="shared" ref="I27:K27" si="10">I20/$H$29*1000000</f>
        <v>-413.59441444037543</v>
      </c>
      <c r="J27" s="171">
        <f t="shared" si="10"/>
        <v>-37.226998409188347</v>
      </c>
      <c r="K27" s="172">
        <f t="shared" si="10"/>
        <v>-133.09371432578922</v>
      </c>
      <c r="L27" s="170">
        <f>L20/$L$29*1000000</f>
        <v>-416.72409461367675</v>
      </c>
      <c r="M27" s="171">
        <f t="shared" ref="M27:O27" si="11">M20/$L$29*1000000</f>
        <v>257.98626479836082</v>
      </c>
      <c r="N27" s="171">
        <f t="shared" si="11"/>
        <v>-270.94749133940331</v>
      </c>
      <c r="O27" s="172">
        <f t="shared" si="11"/>
        <v>-271.8433434633526</v>
      </c>
    </row>
    <row r="28" spans="1:15" ht="15.5" x14ac:dyDescent="0.35">
      <c r="A28" s="17"/>
      <c r="B28" s="320" t="s">
        <v>163</v>
      </c>
      <c r="C28" s="244" t="s">
        <v>88</v>
      </c>
      <c r="D28" s="330">
        <f>[2]AnnualQtys!$AK$8</f>
        <v>1712524655.6244731</v>
      </c>
      <c r="E28" s="331"/>
      <c r="F28" s="331"/>
      <c r="G28" s="247"/>
      <c r="H28" s="330">
        <f>[2]AnnualQtys!$AK$23</f>
        <v>522378703.12894255</v>
      </c>
      <c r="I28" s="331"/>
      <c r="J28" s="331"/>
      <c r="K28" s="247"/>
      <c r="L28" s="330">
        <f>D28-H28</f>
        <v>1190145952.4955306</v>
      </c>
      <c r="M28" s="331"/>
      <c r="N28" s="331"/>
      <c r="O28" s="247"/>
    </row>
    <row r="29" spans="1:15" s="17" customFormat="1" ht="16" thickBot="1" x14ac:dyDescent="0.4">
      <c r="B29" s="321"/>
      <c r="C29" s="246" t="s">
        <v>89</v>
      </c>
      <c r="D29" s="332">
        <f>[2]AnnualQtys!$AK$6-[2]AnnualQtys!$AK$5</f>
        <v>738794.05338398018</v>
      </c>
      <c r="E29" s="333"/>
      <c r="F29" s="333"/>
      <c r="G29" s="248"/>
      <c r="H29" s="332">
        <f>[2]AnnualQtys!$AK$21-[2]AnnualQtys!$AK$20</f>
        <v>146931.61080522425</v>
      </c>
      <c r="I29" s="333"/>
      <c r="J29" s="333"/>
      <c r="K29" s="248"/>
      <c r="L29" s="332">
        <f>D29-H29</f>
        <v>591862.4425787559</v>
      </c>
      <c r="M29" s="333"/>
      <c r="N29" s="333"/>
      <c r="O29" s="248"/>
    </row>
    <row r="30" spans="1:15" s="17" customFormat="1" x14ac:dyDescent="0.35">
      <c r="I30" s="16"/>
      <c r="J30" s="16"/>
      <c r="K30" s="16"/>
    </row>
    <row r="31" spans="1:15" s="17" customFormat="1" ht="15.5" x14ac:dyDescent="0.35">
      <c r="B31" s="53"/>
      <c r="D31" s="16"/>
      <c r="E31" s="16"/>
      <c r="F31" s="1"/>
      <c r="G31" s="16"/>
      <c r="H31" s="16"/>
      <c r="I31" s="16"/>
      <c r="J31" s="16"/>
      <c r="K31" s="16"/>
    </row>
    <row r="32" spans="1:15" ht="15.5" x14ac:dyDescent="0.35">
      <c r="B32" s="53"/>
      <c r="M32" s="16"/>
    </row>
    <row r="33" spans="1:15" ht="15.5" x14ac:dyDescent="0.35">
      <c r="B33" s="53"/>
    </row>
    <row r="34" spans="1:15" ht="15" thickBot="1" x14ac:dyDescent="0.4">
      <c r="J34" s="16"/>
    </row>
    <row r="35" spans="1:15" ht="15.5" x14ac:dyDescent="0.35">
      <c r="B35" s="269" t="s">
        <v>98</v>
      </c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0"/>
      <c r="N35" s="270"/>
      <c r="O35" s="271"/>
    </row>
    <row r="36" spans="1:15" ht="15.5" x14ac:dyDescent="0.35">
      <c r="B36" s="281" t="s">
        <v>19</v>
      </c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  <c r="O36" s="283"/>
    </row>
    <row r="37" spans="1:15" ht="15.5" x14ac:dyDescent="0.35">
      <c r="B37" s="281" t="s">
        <v>52</v>
      </c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3"/>
    </row>
    <row r="38" spans="1:15" ht="16" thickBot="1" x14ac:dyDescent="0.4">
      <c r="A38" s="17"/>
      <c r="B38" s="2"/>
      <c r="C38" s="5"/>
      <c r="D38" s="5"/>
      <c r="E38" s="5"/>
      <c r="F38" s="5"/>
      <c r="G38" s="5"/>
      <c r="H38" s="5"/>
      <c r="I38" s="5"/>
      <c r="J38" s="5"/>
      <c r="K38" s="5"/>
      <c r="L38" s="47"/>
      <c r="M38" s="47"/>
      <c r="N38" s="47"/>
      <c r="O38" s="48"/>
    </row>
    <row r="39" spans="1:15" ht="15.5" x14ac:dyDescent="0.35">
      <c r="B39" s="2"/>
      <c r="C39" s="5"/>
      <c r="D39" s="325" t="s">
        <v>35</v>
      </c>
      <c r="E39" s="326"/>
      <c r="F39" s="326"/>
      <c r="G39" s="327"/>
      <c r="H39" s="325" t="s">
        <v>36</v>
      </c>
      <c r="I39" s="326"/>
      <c r="J39" s="326"/>
      <c r="K39" s="327"/>
      <c r="L39" s="325" t="s">
        <v>97</v>
      </c>
      <c r="M39" s="326"/>
      <c r="N39" s="326"/>
      <c r="O39" s="327"/>
    </row>
    <row r="40" spans="1:15" ht="16" thickBot="1" x14ac:dyDescent="0.4">
      <c r="B40" s="328" t="s">
        <v>12</v>
      </c>
      <c r="C40" s="329"/>
      <c r="D40" s="13" t="s">
        <v>9</v>
      </c>
      <c r="E40" s="14" t="s">
        <v>7</v>
      </c>
      <c r="F40" s="14" t="s">
        <v>8</v>
      </c>
      <c r="G40" s="15" t="s">
        <v>6</v>
      </c>
      <c r="H40" s="13" t="s">
        <v>9</v>
      </c>
      <c r="I40" s="14" t="s">
        <v>7</v>
      </c>
      <c r="J40" s="14" t="s">
        <v>8</v>
      </c>
      <c r="K40" s="15" t="s">
        <v>6</v>
      </c>
      <c r="L40" s="13" t="str">
        <f>H40</f>
        <v>RIM</v>
      </c>
      <c r="M40" s="14" t="str">
        <f>I40</f>
        <v>PCT</v>
      </c>
      <c r="N40" s="14" t="str">
        <f>J40</f>
        <v>TRC</v>
      </c>
      <c r="O40" s="15" t="str">
        <f>K40</f>
        <v>SCT</v>
      </c>
    </row>
    <row r="41" spans="1:15" ht="15.75" customHeight="1" x14ac:dyDescent="0.35">
      <c r="B41" s="317" t="s">
        <v>13</v>
      </c>
      <c r="C41" s="135" t="s">
        <v>5</v>
      </c>
      <c r="D41" s="136"/>
      <c r="E41" s="137">
        <f>-[4]DataForGraphs!$D$8</f>
        <v>-198.138915305392</v>
      </c>
      <c r="F41" s="137">
        <f>-[4]DataForGraphs!$J$8</f>
        <v>-198.138915305392</v>
      </c>
      <c r="G41" s="138">
        <f>-[4]DataForGraphs!$M$8</f>
        <v>-198.138915305392</v>
      </c>
      <c r="H41" s="136"/>
      <c r="I41" s="137">
        <f>-[4]DataForGraphs!$R$8</f>
        <v>-63.890246511556903</v>
      </c>
      <c r="J41" s="137">
        <f>-[4]DataForGraphs!$X$8</f>
        <v>-63.890246511556903</v>
      </c>
      <c r="K41" s="138">
        <f>-[4]DataForGraphs!$AA$8</f>
        <v>-63.890246511556903</v>
      </c>
      <c r="L41" s="136"/>
      <c r="M41" s="137">
        <f>E41-I41</f>
        <v>-134.24866879383509</v>
      </c>
      <c r="N41" s="137">
        <f t="shared" ref="N41:N42" si="12">F41-J41</f>
        <v>-134.24866879383509</v>
      </c>
      <c r="O41" s="138">
        <f t="shared" ref="O41:O42" si="13">G41-K41</f>
        <v>-134.24866879383509</v>
      </c>
    </row>
    <row r="42" spans="1:15" ht="15.5" x14ac:dyDescent="0.35">
      <c r="B42" s="277"/>
      <c r="C42" s="12" t="s">
        <v>94</v>
      </c>
      <c r="D42" s="18"/>
      <c r="E42" s="19">
        <f>[4]DataForGraphs!$E$7</f>
        <v>70.845407595907147</v>
      </c>
      <c r="F42" s="19">
        <f>[4]DataForGraphs!$K$7</f>
        <v>70.845407595907147</v>
      </c>
      <c r="G42" s="20">
        <f>[4]DataForGraphs!$N$7</f>
        <v>70.845407595907147</v>
      </c>
      <c r="H42" s="18"/>
      <c r="I42" s="19">
        <f>[4]DataForGraphs!$S$7</f>
        <v>23.928750545716824</v>
      </c>
      <c r="J42" s="19">
        <f>[4]DataForGraphs!$Y$7</f>
        <v>23.928750545716824</v>
      </c>
      <c r="K42" s="20">
        <f>[4]DataForGraphs!$AB$7</f>
        <v>23.928750545716824</v>
      </c>
      <c r="L42" s="18"/>
      <c r="M42" s="19">
        <f t="shared" ref="M42:M46" si="14">E42-I42</f>
        <v>46.916657050190324</v>
      </c>
      <c r="N42" s="19">
        <f t="shared" si="12"/>
        <v>46.916657050190324</v>
      </c>
      <c r="O42" s="20">
        <f t="shared" si="13"/>
        <v>46.916657050190324</v>
      </c>
    </row>
    <row r="43" spans="1:15" ht="15.5" x14ac:dyDescent="0.35">
      <c r="B43" s="277"/>
      <c r="C43" s="9" t="s">
        <v>4</v>
      </c>
      <c r="D43" s="21">
        <f>[4]DataForGraphs!$H$13</f>
        <v>192.16598229929201</v>
      </c>
      <c r="E43" s="22">
        <f>-[4]DataForGraphs!$D$13</f>
        <v>-192.16598229929201</v>
      </c>
      <c r="F43" s="23"/>
      <c r="G43" s="24"/>
      <c r="H43" s="21">
        <f>[4]DataForGraphs!$V$13</f>
        <v>140.11510682391099</v>
      </c>
      <c r="I43" s="22">
        <f>-[4]DataForGraphs!$R$13</f>
        <v>-140.11510682391099</v>
      </c>
      <c r="J43" s="23"/>
      <c r="K43" s="24"/>
      <c r="L43" s="21">
        <f t="shared" ref="L43" si="15">D43-H43</f>
        <v>52.050875475381019</v>
      </c>
      <c r="M43" s="22">
        <f t="shared" si="14"/>
        <v>-52.050875475381019</v>
      </c>
      <c r="N43" s="23"/>
      <c r="O43" s="24"/>
    </row>
    <row r="44" spans="1:15" ht="15.5" x14ac:dyDescent="0.35">
      <c r="B44" s="277"/>
      <c r="C44" s="9" t="s">
        <v>2</v>
      </c>
      <c r="D44" s="25"/>
      <c r="E44" s="22">
        <f>[4]DataForGraphs!$E$20</f>
        <v>630.59295680789296</v>
      </c>
      <c r="F44" s="22">
        <f>[4]DataForGraphs!$K$20</f>
        <v>630.59295680789296</v>
      </c>
      <c r="G44" s="26">
        <f>[4]DataForGraphs!$N$20</f>
        <v>630.59295680789296</v>
      </c>
      <c r="H44" s="25"/>
      <c r="I44" s="22">
        <f>[4]DataForGraphs!$S$20</f>
        <v>192.143926132225</v>
      </c>
      <c r="J44" s="22">
        <f>[4]DataForGraphs!$Y$20</f>
        <v>192.143926132225</v>
      </c>
      <c r="K44" s="26">
        <f>[4]DataForGraphs!$AB$20</f>
        <v>192.143926132225</v>
      </c>
      <c r="L44" s="25"/>
      <c r="M44" s="22">
        <f t="shared" si="14"/>
        <v>438.44903067566793</v>
      </c>
      <c r="N44" s="22">
        <f t="shared" ref="N44:N45" si="16">F44-J44</f>
        <v>438.44903067566793</v>
      </c>
      <c r="O44" s="26">
        <f t="shared" ref="O44:O45" si="17">G44-K44</f>
        <v>438.44903067566793</v>
      </c>
    </row>
    <row r="45" spans="1:15" ht="15.5" x14ac:dyDescent="0.35">
      <c r="B45" s="277"/>
      <c r="C45" s="9" t="s">
        <v>3</v>
      </c>
      <c r="D45" s="25"/>
      <c r="E45" s="22">
        <f>[4]DataForGraphs!$E$9</f>
        <v>193.67730375007301</v>
      </c>
      <c r="F45" s="22">
        <f>[4]DataForGraphs!$K$9</f>
        <v>193.67730375007301</v>
      </c>
      <c r="G45" s="26">
        <f>[4]DataForGraphs!$N$9</f>
        <v>193.67730375007301</v>
      </c>
      <c r="H45" s="25"/>
      <c r="I45" s="22">
        <f>[4]DataForGraphs!$S$9</f>
        <v>62.561735820079797</v>
      </c>
      <c r="J45" s="22">
        <f>[4]DataForGraphs!$Y$9</f>
        <v>62.561735820079797</v>
      </c>
      <c r="K45" s="26">
        <f>[4]DataForGraphs!$AB$9</f>
        <v>62.561735820079797</v>
      </c>
      <c r="L45" s="25"/>
      <c r="M45" s="22">
        <f t="shared" si="14"/>
        <v>131.1155679299932</v>
      </c>
      <c r="N45" s="22">
        <f t="shared" si="16"/>
        <v>131.1155679299932</v>
      </c>
      <c r="O45" s="26">
        <f t="shared" si="17"/>
        <v>131.1155679299932</v>
      </c>
    </row>
    <row r="46" spans="1:15" ht="15.5" x14ac:dyDescent="0.35">
      <c r="B46" s="278"/>
      <c r="C46" s="9" t="s">
        <v>38</v>
      </c>
      <c r="D46" s="25"/>
      <c r="E46" s="22">
        <f>[4]DataForGraphs!$E$10</f>
        <v>4.4616115553190596</v>
      </c>
      <c r="F46" s="23"/>
      <c r="G46" s="24"/>
      <c r="H46" s="25"/>
      <c r="I46" s="22">
        <f>[4]DataForGraphs!$S$10</f>
        <v>1.3285106914771101</v>
      </c>
      <c r="J46" s="23"/>
      <c r="K46" s="24"/>
      <c r="L46" s="25"/>
      <c r="M46" s="22">
        <f t="shared" si="14"/>
        <v>3.1331008638419497</v>
      </c>
      <c r="N46" s="23"/>
      <c r="O46" s="24"/>
    </row>
    <row r="47" spans="1:15" ht="15.75" customHeight="1" x14ac:dyDescent="0.35">
      <c r="B47" s="279" t="s">
        <v>14</v>
      </c>
      <c r="C47" s="9" t="s">
        <v>39</v>
      </c>
      <c r="D47" s="21">
        <f>-[4]DataForGraphs!$G$12</f>
        <v>-238.73729165030255</v>
      </c>
      <c r="E47" s="23"/>
      <c r="F47" s="22">
        <f>-[4]DataForGraphs!$J$12</f>
        <v>-238.73729165030255</v>
      </c>
      <c r="G47" s="26">
        <f>-[4]DataForGraphs!$M$12</f>
        <v>-238.73729165030255</v>
      </c>
      <c r="H47" s="23"/>
      <c r="I47" s="23"/>
      <c r="J47" s="23"/>
      <c r="K47" s="23"/>
      <c r="L47" s="21">
        <f t="shared" ref="L47:L50" si="18">D47-H47</f>
        <v>-238.73729165030255</v>
      </c>
      <c r="M47" s="23"/>
      <c r="N47" s="22">
        <f t="shared" ref="N47:N49" si="19">F47-J47</f>
        <v>-238.73729165030255</v>
      </c>
      <c r="O47" s="26">
        <f t="shared" ref="O47:O49" si="20">G47-K47</f>
        <v>-238.73729165030255</v>
      </c>
    </row>
    <row r="48" spans="1:15" ht="15.5" x14ac:dyDescent="0.35">
      <c r="B48" s="277"/>
      <c r="C48" s="9" t="s">
        <v>40</v>
      </c>
      <c r="D48" s="49">
        <f>-[4]DataForGraphs!$G$23</f>
        <v>-42.726440106767924</v>
      </c>
      <c r="E48" s="23"/>
      <c r="F48" s="22">
        <f>-[4]DataForGraphs!$J$23</f>
        <v>-42.726440106767924</v>
      </c>
      <c r="G48" s="26">
        <f>-[4]DataForGraphs!$M$23</f>
        <v>-42.726440106767924</v>
      </c>
      <c r="H48" s="23"/>
      <c r="I48" s="23"/>
      <c r="J48" s="23"/>
      <c r="K48" s="23"/>
      <c r="L48" s="21">
        <f t="shared" si="18"/>
        <v>-42.726440106767924</v>
      </c>
      <c r="M48" s="23"/>
      <c r="N48" s="22">
        <f t="shared" si="19"/>
        <v>-42.726440106767924</v>
      </c>
      <c r="O48" s="26">
        <f t="shared" si="20"/>
        <v>-42.726440106767924</v>
      </c>
    </row>
    <row r="49" spans="2:15" ht="15.5" x14ac:dyDescent="0.35">
      <c r="B49" s="6" t="s">
        <v>15</v>
      </c>
      <c r="C49" s="10"/>
      <c r="D49" s="21">
        <f>-SUM([4]DataForGraphs!$G$14:$G$19)</f>
        <v>-164.01335681676193</v>
      </c>
      <c r="E49" s="23"/>
      <c r="F49" s="22">
        <f>-SUM([4]DataForGraphs!$J$14:$J$19)</f>
        <v>-164.01335681676193</v>
      </c>
      <c r="G49" s="26">
        <f>-SUM([4]DataForGraphs!$M$14:$M$19)</f>
        <v>-164.01335681676193</v>
      </c>
      <c r="H49" s="21">
        <f>-SUM([4]DataForGraphs!$U$14:$U$19)</f>
        <v>-83.481441760813581</v>
      </c>
      <c r="I49" s="23"/>
      <c r="J49" s="22">
        <f>-SUM([4]DataForGraphs!$X$14:$X$19)</f>
        <v>-83.481441760813581</v>
      </c>
      <c r="K49" s="26">
        <f>-SUM([4]DataForGraphs!$AA$14:$AA$19)</f>
        <v>-83.481441760813581</v>
      </c>
      <c r="L49" s="21">
        <f t="shared" si="18"/>
        <v>-80.531915055948346</v>
      </c>
      <c r="M49" s="23"/>
      <c r="N49" s="22">
        <f t="shared" si="19"/>
        <v>-80.531915055948346</v>
      </c>
      <c r="O49" s="26">
        <f t="shared" si="20"/>
        <v>-80.531915055948346</v>
      </c>
    </row>
    <row r="50" spans="2:15" ht="15.75" customHeight="1" x14ac:dyDescent="0.35">
      <c r="B50" s="279" t="s">
        <v>73</v>
      </c>
      <c r="C50" s="3" t="s">
        <v>1</v>
      </c>
      <c r="D50" s="21">
        <f>[4]DataForGraphs!$H$21</f>
        <v>91.001968951113497</v>
      </c>
      <c r="E50" s="23"/>
      <c r="F50" s="23"/>
      <c r="G50" s="23"/>
      <c r="H50" s="21">
        <f>[4]DataForGraphs!$V$21</f>
        <v>27.700538132946999</v>
      </c>
      <c r="I50" s="23"/>
      <c r="J50" s="23"/>
      <c r="K50" s="23"/>
      <c r="L50" s="21">
        <f t="shared" si="18"/>
        <v>63.301430818166494</v>
      </c>
      <c r="M50" s="23"/>
      <c r="N50" s="23"/>
      <c r="O50" s="24"/>
    </row>
    <row r="51" spans="2:15" ht="15.5" x14ac:dyDescent="0.35">
      <c r="B51" s="278"/>
      <c r="C51" s="3" t="s">
        <v>0</v>
      </c>
      <c r="D51" s="25"/>
      <c r="E51" s="23"/>
      <c r="F51" s="23"/>
      <c r="G51" s="26">
        <f>-[4]DataForGraphs!$M$22</f>
        <v>-14.616072218503</v>
      </c>
      <c r="H51" s="25"/>
      <c r="I51" s="23"/>
      <c r="J51" s="23"/>
      <c r="K51" s="26">
        <f>-[4]DataForGraphs!$AA$22</f>
        <v>-14.085850992233</v>
      </c>
      <c r="L51" s="25"/>
      <c r="M51" s="23"/>
      <c r="N51" s="23"/>
      <c r="O51" s="26">
        <f t="shared" ref="O51" si="21">G51-K51</f>
        <v>-0.53022122626999924</v>
      </c>
    </row>
    <row r="52" spans="2:15" ht="16" thickBot="1" x14ac:dyDescent="0.4">
      <c r="B52" s="7" t="s">
        <v>167</v>
      </c>
      <c r="C52" s="11"/>
      <c r="D52" s="27">
        <f t="shared" ref="D52:F52" si="22">SUM(D41:D51)</f>
        <v>-162.30913732342691</v>
      </c>
      <c r="E52" s="28">
        <f t="shared" si="22"/>
        <v>509.27238210450815</v>
      </c>
      <c r="F52" s="28">
        <f t="shared" si="22"/>
        <v>251.49966427464864</v>
      </c>
      <c r="G52" s="29">
        <f>SUM(G41:G51)</f>
        <v>236.88359205614563</v>
      </c>
      <c r="H52" s="27">
        <f t="shared" ref="H52:K52" si="23">SUM(H41:H51)</f>
        <v>84.334203196044413</v>
      </c>
      <c r="I52" s="28">
        <f t="shared" si="23"/>
        <v>75.957569854030851</v>
      </c>
      <c r="J52" s="28">
        <f t="shared" si="23"/>
        <v>131.26272422565114</v>
      </c>
      <c r="K52" s="29">
        <f t="shared" si="23"/>
        <v>117.17687323341814</v>
      </c>
      <c r="L52" s="45">
        <f>SUM(L41:L51)</f>
        <v>-246.64334051947131</v>
      </c>
      <c r="M52" s="19">
        <f t="shared" ref="M52:O52" si="24">SUM(M41:M51)</f>
        <v>433.3148122504773</v>
      </c>
      <c r="N52" s="19">
        <f t="shared" si="24"/>
        <v>120.23694004899748</v>
      </c>
      <c r="O52" s="20">
        <f t="shared" si="24"/>
        <v>119.70671882272748</v>
      </c>
    </row>
    <row r="53" spans="2:15" ht="16" thickTop="1" x14ac:dyDescent="0.35">
      <c r="B53" s="2" t="s">
        <v>16</v>
      </c>
      <c r="C53" s="3"/>
      <c r="D53" s="36">
        <f>-D47-D48-D49</f>
        <v>445.47708857383242</v>
      </c>
      <c r="E53" s="37">
        <f>-E41-E43</f>
        <v>390.30489760468402</v>
      </c>
      <c r="F53" s="37">
        <f>-F41-F47-F48-F49</f>
        <v>643.61600387922442</v>
      </c>
      <c r="G53" s="38">
        <f>-G41-G47-G48-G49</f>
        <v>643.61600387922442</v>
      </c>
      <c r="H53" s="36">
        <f>-H47-H48-H49</f>
        <v>83.481441760813581</v>
      </c>
      <c r="I53" s="37">
        <f>-I41-I43</f>
        <v>204.0053533354679</v>
      </c>
      <c r="J53" s="37">
        <f>-J41-J47-J48-J49</f>
        <v>147.37168827237048</v>
      </c>
      <c r="K53" s="38">
        <f>-K41-K47-K48-K49</f>
        <v>147.37168827237048</v>
      </c>
      <c r="L53" s="36">
        <f>-L47-L48-L49</f>
        <v>361.99564681301882</v>
      </c>
      <c r="M53" s="37">
        <f>-M41-M43</f>
        <v>186.29954426921611</v>
      </c>
      <c r="N53" s="37">
        <f>-N41-N47-N48-N49</f>
        <v>496.24431560685389</v>
      </c>
      <c r="O53" s="38">
        <f>-O41-O47-O48-O49</f>
        <v>496.24431560685389</v>
      </c>
    </row>
    <row r="54" spans="2:15" ht="15.5" x14ac:dyDescent="0.35">
      <c r="B54" s="2" t="s">
        <v>17</v>
      </c>
      <c r="C54" s="3"/>
      <c r="D54" s="36">
        <f>D43+D50</f>
        <v>283.16795125040551</v>
      </c>
      <c r="E54" s="37">
        <f>E44+E45+E46+E42+E50</f>
        <v>899.57727970919223</v>
      </c>
      <c r="F54" s="37">
        <f>F44+F45+F42</f>
        <v>895.115668153873</v>
      </c>
      <c r="G54" s="38">
        <f>G44+G45+G51+G42</f>
        <v>880.49959593537005</v>
      </c>
      <c r="H54" s="36">
        <f>H43+H50</f>
        <v>167.81564495685799</v>
      </c>
      <c r="I54" s="37">
        <f>I44+I45+I46+I42+I50</f>
        <v>279.96292318949872</v>
      </c>
      <c r="J54" s="37">
        <f>J44+J45+J42</f>
        <v>278.63441249802162</v>
      </c>
      <c r="K54" s="38">
        <f>K44+K45+K51+K42</f>
        <v>264.54856150578865</v>
      </c>
      <c r="L54" s="36">
        <f>L43+L50</f>
        <v>115.35230629354751</v>
      </c>
      <c r="M54" s="37">
        <f>M44+M45+M46+M42+M50</f>
        <v>619.61435651969339</v>
      </c>
      <c r="N54" s="37">
        <f>N44+N45+N42</f>
        <v>616.48125565585144</v>
      </c>
      <c r="O54" s="38">
        <f>O44+O45+O51+O42</f>
        <v>615.95103442958145</v>
      </c>
    </row>
    <row r="55" spans="2:15" ht="16" thickBot="1" x14ac:dyDescent="0.4">
      <c r="B55" s="4" t="s">
        <v>18</v>
      </c>
      <c r="C55" s="8"/>
      <c r="D55" s="147">
        <f>D54/D53</f>
        <v>0.63565098747715698</v>
      </c>
      <c r="E55" s="148">
        <f t="shared" ref="E55:O55" si="25">E54/E53</f>
        <v>2.3048065377348124</v>
      </c>
      <c r="F55" s="148">
        <f t="shared" si="25"/>
        <v>1.3907604266500539</v>
      </c>
      <c r="G55" s="149">
        <f t="shared" si="25"/>
        <v>1.3680511215202742</v>
      </c>
      <c r="H55" s="148">
        <f t="shared" si="25"/>
        <v>2.0102149821235016</v>
      </c>
      <c r="I55" s="148">
        <f t="shared" si="25"/>
        <v>1.3723312580387321</v>
      </c>
      <c r="J55" s="148">
        <f t="shared" si="25"/>
        <v>1.8906915959533086</v>
      </c>
      <c r="K55" s="149">
        <f t="shared" si="25"/>
        <v>1.7951111547073639</v>
      </c>
      <c r="L55" s="150">
        <f t="shared" si="25"/>
        <v>0.31865661178276627</v>
      </c>
      <c r="M55" s="151">
        <f t="shared" si="25"/>
        <v>3.3259037693849991</v>
      </c>
      <c r="N55" s="151">
        <f t="shared" si="25"/>
        <v>1.2422938384734152</v>
      </c>
      <c r="O55" s="152">
        <f t="shared" si="25"/>
        <v>1.2412253703628604</v>
      </c>
    </row>
    <row r="56" spans="2:15" s="17" customFormat="1" ht="16" thickBot="1" x14ac:dyDescent="0.4">
      <c r="B56" s="3"/>
      <c r="C56" s="3"/>
      <c r="D56" s="238"/>
      <c r="E56" s="238"/>
      <c r="F56" s="238"/>
      <c r="G56" s="238"/>
      <c r="H56" s="238"/>
      <c r="I56" s="238"/>
      <c r="J56" s="238"/>
      <c r="K56" s="238"/>
      <c r="L56" s="239"/>
      <c r="M56" s="239"/>
      <c r="N56" s="239"/>
      <c r="O56" s="239"/>
    </row>
    <row r="57" spans="2:15" s="17" customFormat="1" ht="15.5" x14ac:dyDescent="0.35">
      <c r="B57" s="249" t="s">
        <v>167</v>
      </c>
      <c r="C57" s="243"/>
      <c r="D57" s="322" t="s">
        <v>35</v>
      </c>
      <c r="E57" s="323"/>
      <c r="F57" s="323"/>
      <c r="G57" s="324"/>
      <c r="H57" s="325" t="s">
        <v>36</v>
      </c>
      <c r="I57" s="326"/>
      <c r="J57" s="326"/>
      <c r="K57" s="327"/>
      <c r="L57" s="325" t="s">
        <v>97</v>
      </c>
      <c r="M57" s="326"/>
      <c r="N57" s="326"/>
      <c r="O57" s="327"/>
    </row>
    <row r="58" spans="2:15" s="17" customFormat="1" ht="14.25" customHeight="1" x14ac:dyDescent="0.35">
      <c r="B58" s="318" t="s">
        <v>166</v>
      </c>
      <c r="C58" s="244" t="s">
        <v>164</v>
      </c>
      <c r="D58" s="241">
        <f t="shared" ref="D58:G58" si="26">D52/$D$28*1000000</f>
        <v>-9.4777693734424392E-2</v>
      </c>
      <c r="E58" s="240">
        <f t="shared" si="26"/>
        <v>0.29738105108845958</v>
      </c>
      <c r="F58" s="240">
        <f t="shared" si="26"/>
        <v>0.14685900343019537</v>
      </c>
      <c r="G58" s="242">
        <f t="shared" si="26"/>
        <v>0.13832419362731213</v>
      </c>
      <c r="H58" s="241">
        <f>H52/$H$28*1000000</f>
        <v>0.16144265202792463</v>
      </c>
      <c r="I58" s="240">
        <f t="shared" ref="I58:K58" si="27">I52/$H$28*1000000</f>
        <v>0.14540709527218548</v>
      </c>
      <c r="J58" s="240">
        <f t="shared" si="27"/>
        <v>0.25127885849751153</v>
      </c>
      <c r="K58" s="242">
        <f t="shared" si="27"/>
        <v>0.22431403219838866</v>
      </c>
      <c r="L58" s="241">
        <f>L52/$L$28*1000000</f>
        <v>-0.20723789380815252</v>
      </c>
      <c r="M58" s="240">
        <f t="shared" ref="M58:O58" si="28">M52/$L$28*1000000</f>
        <v>0.36408543955629219</v>
      </c>
      <c r="N58" s="240">
        <f t="shared" si="28"/>
        <v>0.10102705453636285</v>
      </c>
      <c r="O58" s="242">
        <f t="shared" si="28"/>
        <v>0.10058154512202738</v>
      </c>
    </row>
    <row r="59" spans="2:15" s="17" customFormat="1" ht="15.5" x14ac:dyDescent="0.35">
      <c r="B59" s="319"/>
      <c r="C59" s="245" t="s">
        <v>165</v>
      </c>
      <c r="D59" s="170">
        <f>D52/$D$29*1000000</f>
        <v>-219.69469919253464</v>
      </c>
      <c r="E59" s="171">
        <f>E52/$D$29*1000000</f>
        <v>689.32929247580091</v>
      </c>
      <c r="F59" s="171">
        <f>F52/$D$29*1000000</f>
        <v>340.41917787870227</v>
      </c>
      <c r="G59" s="172">
        <f>G52/$D$29*1000000</f>
        <v>320.63548829490639</v>
      </c>
      <c r="H59" s="170">
        <f>H52/$H$29*1000000</f>
        <v>573.96909170103413</v>
      </c>
      <c r="I59" s="171">
        <f t="shared" ref="I59:K59" si="29">I52/$H$29*1000000</f>
        <v>516.95866830672583</v>
      </c>
      <c r="J59" s="171">
        <f t="shared" si="29"/>
        <v>893.35932211112743</v>
      </c>
      <c r="K59" s="172">
        <f t="shared" si="29"/>
        <v>797.4926061945265</v>
      </c>
      <c r="L59" s="170">
        <f>L52/$L$29*1000000</f>
        <v>-416.72409461367675</v>
      </c>
      <c r="M59" s="171">
        <f t="shared" ref="M59:O59" si="30">M52/$L$29*1000000</f>
        <v>732.120812333549</v>
      </c>
      <c r="N59" s="171">
        <f t="shared" si="30"/>
        <v>203.15014334263694</v>
      </c>
      <c r="O59" s="172">
        <f t="shared" si="30"/>
        <v>202.25429121868763</v>
      </c>
    </row>
    <row r="60" spans="2:15" s="17" customFormat="1" ht="15.75" customHeight="1" x14ac:dyDescent="0.35">
      <c r="B60" s="320" t="s">
        <v>163</v>
      </c>
      <c r="C60" s="244" t="s">
        <v>88</v>
      </c>
      <c r="D60" s="330">
        <f>[4]AnnualQtys!$AK$8</f>
        <v>1712524655.6244731</v>
      </c>
      <c r="E60" s="331"/>
      <c r="F60" s="331"/>
      <c r="G60" s="247"/>
      <c r="H60" s="330">
        <f>[4]AnnualQtys!$AK$23</f>
        <v>522378703.12894255</v>
      </c>
      <c r="I60" s="331"/>
      <c r="J60" s="331"/>
      <c r="K60" s="247"/>
      <c r="L60" s="330">
        <f>D60-H60</f>
        <v>1190145952.4955306</v>
      </c>
      <c r="M60" s="331"/>
      <c r="N60" s="331"/>
      <c r="O60" s="247"/>
    </row>
    <row r="61" spans="2:15" ht="15.75" customHeight="1" thickBot="1" x14ac:dyDescent="0.4">
      <c r="B61" s="321"/>
      <c r="C61" s="246" t="s">
        <v>89</v>
      </c>
      <c r="D61" s="332">
        <f>[4]AnnualQtys!$AK$6-[4]AnnualQtys!$AK$5</f>
        <v>738794.05338398018</v>
      </c>
      <c r="E61" s="333"/>
      <c r="F61" s="333"/>
      <c r="G61" s="248"/>
      <c r="H61" s="332">
        <f>[4]AnnualQtys!$AK$21-[4]AnnualQtys!$AK$20</f>
        <v>146931.61080522425</v>
      </c>
      <c r="I61" s="333"/>
      <c r="J61" s="333"/>
      <c r="K61" s="248"/>
      <c r="L61" s="332">
        <f>D61-H61</f>
        <v>591862.4425787559</v>
      </c>
      <c r="M61" s="333"/>
      <c r="N61" s="333"/>
      <c r="O61" s="248"/>
    </row>
    <row r="64" spans="2:15" ht="15.5" x14ac:dyDescent="0.35">
      <c r="B64" s="53"/>
    </row>
    <row r="65" spans="10:15" x14ac:dyDescent="0.35">
      <c r="J65" s="16"/>
      <c r="K65" s="16"/>
      <c r="L65" s="17"/>
      <c r="M65" s="17"/>
      <c r="N65" s="17"/>
      <c r="O65" s="17"/>
    </row>
    <row r="66" spans="10:15" x14ac:dyDescent="0.35">
      <c r="J66" s="16"/>
      <c r="K66" s="16"/>
      <c r="L66" s="17"/>
      <c r="M66" s="17"/>
      <c r="N66" s="17"/>
      <c r="O66" s="17"/>
    </row>
  </sheetData>
  <mergeCells count="42">
    <mergeCell ref="B18:B19"/>
    <mergeCell ref="B3:O3"/>
    <mergeCell ref="B4:O4"/>
    <mergeCell ref="B5:O5"/>
    <mergeCell ref="L7:O7"/>
    <mergeCell ref="B9:B14"/>
    <mergeCell ref="B15:B16"/>
    <mergeCell ref="B8:C8"/>
    <mergeCell ref="D7:G7"/>
    <mergeCell ref="H7:K7"/>
    <mergeCell ref="L57:O57"/>
    <mergeCell ref="B60:B61"/>
    <mergeCell ref="D60:F60"/>
    <mergeCell ref="D61:F61"/>
    <mergeCell ref="H60:J60"/>
    <mergeCell ref="H61:J61"/>
    <mergeCell ref="L60:N60"/>
    <mergeCell ref="L61:N61"/>
    <mergeCell ref="D57:G57"/>
    <mergeCell ref="H57:K57"/>
    <mergeCell ref="B58:B59"/>
    <mergeCell ref="D25:G25"/>
    <mergeCell ref="H25:K25"/>
    <mergeCell ref="B40:C40"/>
    <mergeCell ref="L25:O25"/>
    <mergeCell ref="D28:F28"/>
    <mergeCell ref="H28:J28"/>
    <mergeCell ref="L28:N28"/>
    <mergeCell ref="D29:F29"/>
    <mergeCell ref="H29:J29"/>
    <mergeCell ref="L29:N29"/>
    <mergeCell ref="B35:O35"/>
    <mergeCell ref="B36:O36"/>
    <mergeCell ref="B37:O37"/>
    <mergeCell ref="D39:G39"/>
    <mergeCell ref="H39:K39"/>
    <mergeCell ref="L39:O39"/>
    <mergeCell ref="B41:B46"/>
    <mergeCell ref="B47:B48"/>
    <mergeCell ref="B50:B51"/>
    <mergeCell ref="B26:B27"/>
    <mergeCell ref="B28:B29"/>
  </mergeCells>
  <pageMargins left="0.25" right="0.25" top="0.75" bottom="0.75" header="0.3" footer="0.3"/>
  <pageSetup scale="3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"/>
  <sheetViews>
    <sheetView showGridLines="0" workbookViewId="0"/>
  </sheetViews>
  <sheetFormatPr defaultRowHeight="14.5" x14ac:dyDescent="0.35"/>
  <cols>
    <col min="1" max="1" width="14.08984375" bestFit="1" customWidth="1"/>
    <col min="2" max="2" width="23" customWidth="1"/>
    <col min="3" max="3" width="16.453125" bestFit="1" customWidth="1"/>
    <col min="4" max="6" width="12.36328125" customWidth="1"/>
    <col min="7" max="7" width="23.453125" bestFit="1" customWidth="1"/>
    <col min="8" max="8" width="12.6328125" style="17" bestFit="1" customWidth="1"/>
    <col min="9" max="9" width="11.08984375" bestFit="1" customWidth="1"/>
    <col min="10" max="10" width="9.90625" bestFit="1" customWidth="1"/>
    <col min="14" max="14" width="16.36328125" bestFit="1" customWidth="1"/>
  </cols>
  <sheetData>
    <row r="2" spans="2:10" ht="15.75" customHeight="1" x14ac:dyDescent="0.35"/>
    <row r="3" spans="2:10" ht="16" thickBot="1" x14ac:dyDescent="0.4">
      <c r="B3" s="53"/>
      <c r="E3" s="47"/>
      <c r="F3" s="47"/>
      <c r="G3" s="53" t="s">
        <v>175</v>
      </c>
      <c r="I3" s="17"/>
      <c r="J3" s="47"/>
    </row>
    <row r="4" spans="2:10" ht="15.75" customHeight="1" x14ac:dyDescent="0.35">
      <c r="B4" s="292" t="s">
        <v>24</v>
      </c>
      <c r="C4" s="293"/>
      <c r="D4" s="293"/>
      <c r="E4" s="294"/>
      <c r="F4" s="50"/>
      <c r="G4" s="292" t="s">
        <v>24</v>
      </c>
      <c r="H4" s="293"/>
      <c r="I4" s="293"/>
      <c r="J4" s="294"/>
    </row>
    <row r="5" spans="2:10" ht="15.5" x14ac:dyDescent="0.35">
      <c r="B5" s="281" t="s">
        <v>52</v>
      </c>
      <c r="C5" s="282"/>
      <c r="D5" s="282"/>
      <c r="E5" s="283"/>
      <c r="F5" s="46"/>
      <c r="G5" s="281" t="s">
        <v>74</v>
      </c>
      <c r="H5" s="282"/>
      <c r="I5" s="282"/>
      <c r="J5" s="283"/>
    </row>
    <row r="6" spans="2:10" ht="16" thickBot="1" x14ac:dyDescent="0.4">
      <c r="B6" s="2"/>
      <c r="C6" s="5"/>
      <c r="D6" s="5"/>
      <c r="E6" s="48"/>
      <c r="F6" s="47"/>
      <c r="G6" s="2"/>
      <c r="H6" s="5"/>
      <c r="I6" s="5"/>
      <c r="J6" s="48"/>
    </row>
    <row r="7" spans="2:10" ht="16" thickBot="1" x14ac:dyDescent="0.4">
      <c r="B7" s="2"/>
      <c r="C7" s="334" t="s">
        <v>41</v>
      </c>
      <c r="D7" s="335"/>
      <c r="E7" s="336"/>
      <c r="F7" s="46"/>
      <c r="G7" s="2"/>
      <c r="H7" s="334" t="s">
        <v>41</v>
      </c>
      <c r="I7" s="335"/>
      <c r="J7" s="336"/>
    </row>
    <row r="8" spans="2:10" ht="31.5" thickBot="1" x14ac:dyDescent="0.4">
      <c r="B8" s="44" t="s">
        <v>20</v>
      </c>
      <c r="C8" s="51" t="s">
        <v>35</v>
      </c>
      <c r="D8" s="52" t="s">
        <v>36</v>
      </c>
      <c r="E8" s="52" t="s">
        <v>37</v>
      </c>
      <c r="F8" s="47"/>
      <c r="G8" s="67" t="s">
        <v>20</v>
      </c>
      <c r="H8" s="51" t="s">
        <v>35</v>
      </c>
      <c r="I8" s="52" t="s">
        <v>36</v>
      </c>
      <c r="J8" s="52" t="s">
        <v>37</v>
      </c>
    </row>
    <row r="9" spans="2:10" ht="15.5" x14ac:dyDescent="0.35">
      <c r="B9" s="93" t="s">
        <v>22</v>
      </c>
      <c r="C9" s="94">
        <f>[2]NPVResults!$E$14</f>
        <v>-78.971552020872593</v>
      </c>
      <c r="D9" s="99">
        <f>[2]NPVResults!$J$14</f>
        <v>-37.7956214348483</v>
      </c>
      <c r="E9" s="95">
        <f t="shared" ref="E9:E14" si="0">C9-D9</f>
        <v>-41.175930586024293</v>
      </c>
      <c r="G9" s="93" t="s">
        <v>22</v>
      </c>
      <c r="H9" s="224">
        <f t="shared" ref="H9:I14" si="1">-C9*1000000/H$16</f>
        <v>4.6114110977325214E-2</v>
      </c>
      <c r="I9" s="225">
        <f t="shared" si="1"/>
        <v>7.2352914099407556E-2</v>
      </c>
      <c r="J9" s="226">
        <f>I9-H9</f>
        <v>2.6238803122082342E-2</v>
      </c>
    </row>
    <row r="10" spans="2:10" ht="15.5" x14ac:dyDescent="0.35">
      <c r="B10" s="96" t="s">
        <v>10</v>
      </c>
      <c r="C10" s="97">
        <f>[2]NPVResults!$E$15</f>
        <v>-5.4835855059823002</v>
      </c>
      <c r="D10" s="100">
        <f>[2]NPVResults!$J$15</f>
        <v>-2.76044346012405</v>
      </c>
      <c r="E10" s="98">
        <f t="shared" si="0"/>
        <v>-2.7231420458582503</v>
      </c>
      <c r="G10" s="96" t="s">
        <v>10</v>
      </c>
      <c r="H10" s="227">
        <f t="shared" si="1"/>
        <v>3.2020476248166528E-3</v>
      </c>
      <c r="I10" s="228">
        <f t="shared" si="1"/>
        <v>5.2843721300075081E-3</v>
      </c>
      <c r="J10" s="229">
        <f t="shared" ref="J10:J14" si="2">I10-H10</f>
        <v>2.0823245051908553E-3</v>
      </c>
    </row>
    <row r="11" spans="2:10" ht="15.5" x14ac:dyDescent="0.35">
      <c r="B11" s="96" t="s">
        <v>26</v>
      </c>
      <c r="C11" s="97">
        <f>[2]NPVResults!$E$16</f>
        <v>-0.78971552020872604</v>
      </c>
      <c r="D11" s="100">
        <f>[2]NPVResults!$J$16</f>
        <v>-0.37795621434848198</v>
      </c>
      <c r="E11" s="98">
        <f t="shared" si="0"/>
        <v>-0.41175930586024406</v>
      </c>
      <c r="G11" s="96" t="s">
        <v>26</v>
      </c>
      <c r="H11" s="227">
        <f t="shared" si="1"/>
        <v>4.6114110977325221E-4</v>
      </c>
      <c r="I11" s="228">
        <f t="shared" si="1"/>
        <v>7.2352914099407361E-4</v>
      </c>
      <c r="J11" s="229">
        <f t="shared" si="2"/>
        <v>2.623880312208214E-4</v>
      </c>
    </row>
    <row r="12" spans="2:10" ht="15.5" x14ac:dyDescent="0.35">
      <c r="B12" s="96" t="s">
        <v>23</v>
      </c>
      <c r="C12" s="97">
        <f>[2]NPVResults!$E$18</f>
        <v>0</v>
      </c>
      <c r="D12" s="100">
        <f>[2]NPVResults!$J$18</f>
        <v>-17.918528092455801</v>
      </c>
      <c r="E12" s="98">
        <f t="shared" si="0"/>
        <v>17.918528092455801</v>
      </c>
      <c r="G12" s="96" t="s">
        <v>23</v>
      </c>
      <c r="H12" s="227">
        <f t="shared" si="1"/>
        <v>0</v>
      </c>
      <c r="I12" s="228">
        <f t="shared" si="1"/>
        <v>3.4301796733150584E-2</v>
      </c>
      <c r="J12" s="229">
        <f t="shared" si="2"/>
        <v>3.4301796733150584E-2</v>
      </c>
    </row>
    <row r="13" spans="2:10" ht="15.5" x14ac:dyDescent="0.35">
      <c r="B13" s="96" t="s">
        <v>25</v>
      </c>
      <c r="C13" s="97">
        <f>[2]NPVResults!$E$19</f>
        <v>-58.924321147131501</v>
      </c>
      <c r="D13" s="100">
        <f>[2]NPVResults!$J$19</f>
        <v>-17.798567655135098</v>
      </c>
      <c r="E13" s="98">
        <f t="shared" si="0"/>
        <v>-41.125753491996406</v>
      </c>
      <c r="G13" s="96" t="s">
        <v>25</v>
      </c>
      <c r="H13" s="227">
        <f t="shared" si="1"/>
        <v>3.4407867328277802E-2</v>
      </c>
      <c r="I13" s="228">
        <f t="shared" si="1"/>
        <v>3.4072154068543158E-2</v>
      </c>
      <c r="J13" s="229">
        <f t="shared" si="2"/>
        <v>-3.3571325973464489E-4</v>
      </c>
    </row>
    <row r="14" spans="2:10" ht="15.5" x14ac:dyDescent="0.35">
      <c r="B14" s="30" t="s">
        <v>27</v>
      </c>
      <c r="C14" s="31">
        <f>[2]NPVResults!$E$17</f>
        <v>-19.844182622566802</v>
      </c>
      <c r="D14" s="101">
        <f>[2]NPVResults!$J$17</f>
        <v>-6.8303249039018397</v>
      </c>
      <c r="E14" s="32">
        <f t="shared" si="0"/>
        <v>-13.013857718664962</v>
      </c>
      <c r="G14" s="30" t="s">
        <v>27</v>
      </c>
      <c r="H14" s="230">
        <f t="shared" si="1"/>
        <v>1.1587677034250119E-2</v>
      </c>
      <c r="I14" s="231">
        <f t="shared" si="1"/>
        <v>1.307542758345541E-2</v>
      </c>
      <c r="J14" s="232">
        <f t="shared" si="2"/>
        <v>1.4877505492052901E-3</v>
      </c>
    </row>
    <row r="15" spans="2:10" ht="16" thickBot="1" x14ac:dyDescent="0.4">
      <c r="B15" s="33" t="s">
        <v>21</v>
      </c>
      <c r="C15" s="34">
        <f>SUM(C9:C14)</f>
        <v>-164.01335681676193</v>
      </c>
      <c r="D15" s="102">
        <f>SUM(D9:D14)</f>
        <v>-83.481441760813567</v>
      </c>
      <c r="E15" s="35">
        <f>SUM(E9:E14)</f>
        <v>-80.53191505594836</v>
      </c>
      <c r="G15" s="33" t="s">
        <v>21</v>
      </c>
      <c r="H15" s="233">
        <f>SUM(H9:H14)</f>
        <v>9.5772844074443031E-2</v>
      </c>
      <c r="I15" s="234">
        <f>SUM(I9:I14)</f>
        <v>0.15981019375555833</v>
      </c>
      <c r="J15" s="235">
        <f>SUM(J9:J14)</f>
        <v>6.4037349681115255E-2</v>
      </c>
    </row>
    <row r="16" spans="2:10" ht="15.5" x14ac:dyDescent="0.35">
      <c r="G16" s="53" t="s">
        <v>53</v>
      </c>
      <c r="H16" s="66">
        <f>[2]AnnualQtys!$AK$8</f>
        <v>1712524655.6244731</v>
      </c>
      <c r="I16" s="66">
        <f>[2]AnnualQtys!$AK$23</f>
        <v>522378703.12894255</v>
      </c>
    </row>
    <row r="17" spans="2:14" s="17" customFormat="1" x14ac:dyDescent="0.35">
      <c r="G17"/>
      <c r="I17"/>
    </row>
    <row r="18" spans="2:14" ht="15.5" x14ac:dyDescent="0.35">
      <c r="B18" s="53"/>
      <c r="G18" s="53" t="s">
        <v>162</v>
      </c>
      <c r="N18" s="237"/>
    </row>
    <row r="19" spans="2:14" ht="15.5" x14ac:dyDescent="0.35">
      <c r="B19" s="53"/>
    </row>
    <row r="20" spans="2:14" x14ac:dyDescent="0.35">
      <c r="C20" s="103"/>
      <c r="D20" s="104"/>
    </row>
  </sheetData>
  <mergeCells count="6">
    <mergeCell ref="C7:E7"/>
    <mergeCell ref="B4:E4"/>
    <mergeCell ref="B5:E5"/>
    <mergeCell ref="G4:J4"/>
    <mergeCell ref="G5:J5"/>
    <mergeCell ref="H7:J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Figures</vt:lpstr>
      <vt:lpstr>Tables</vt:lpstr>
      <vt:lpstr>Air Impacts</vt:lpstr>
      <vt:lpstr>Scenario Net Results</vt:lpstr>
      <vt:lpstr>B-C for Res Program</vt:lpstr>
      <vt:lpstr>Elec Sply by 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2017-02-10T00:58:15Z</dcterms:created>
  <dcterms:modified xsi:type="dcterms:W3CDTF">2017-03-31T18:56:30Z</dcterms:modified>
  <cp:contentStatus/>
</cp:coreProperties>
</file>